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DieseArbeitsmappe" defaultThemeVersion="166925"/>
  <mc:AlternateContent xmlns:mc="http://schemas.openxmlformats.org/markup-compatibility/2006">
    <mc:Choice Requires="x15">
      <x15ac:absPath xmlns:x15ac="http://schemas.microsoft.com/office/spreadsheetml/2010/11/ac" url="C:\Users\michael\Desktop\"/>
    </mc:Choice>
  </mc:AlternateContent>
  <xr:revisionPtr revIDLastSave="0" documentId="13_ncr:1_{353E003B-DA7B-4BDF-B621-1493BFEC5655}" xr6:coauthVersionLast="47" xr6:coauthVersionMax="47" xr10:uidLastSave="{00000000-0000-0000-0000-000000000000}"/>
  <workbookProtection workbookAlgorithmName="SHA-512" workbookHashValue="GVM0cC1KJpSvm1TeIBjVcnRbECotop7gLoX0GeIY8ATbotA2DwZkDSumGhAmyFIeHWIS10AYl6agLSFebo35pA==" workbookSaltValue="hFn7IJMxf73iNEyCO/7MEg==" workbookSpinCount="100000" lockStructure="1"/>
  <bookViews>
    <workbookView xWindow="-108" yWindow="-108" windowWidth="30936" windowHeight="16896" xr2:uid="{CD373222-7308-4F5D-BF40-3F8E2C478202}"/>
  </bookViews>
  <sheets>
    <sheet name="Eingabemaske" sheetId="2" r:id="rId1"/>
    <sheet name="Berechnung" sheetId="3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2" l="1"/>
  <c r="E12" i="2"/>
  <c r="AH80" i="35"/>
  <c r="AH68" i="35"/>
  <c r="AH63" i="35"/>
  <c r="AK59" i="35"/>
  <c r="AK58" i="35"/>
  <c r="AJ59" i="35"/>
  <c r="AJ58" i="35"/>
  <c r="AK57" i="35"/>
  <c r="AJ57" i="35"/>
  <c r="AG68" i="35"/>
  <c r="AG80" i="35"/>
  <c r="AG63" i="35"/>
  <c r="AX12" i="35" l="1"/>
  <c r="AX11" i="35"/>
  <c r="AX10" i="35"/>
  <c r="AX9" i="35"/>
  <c r="B28" i="2"/>
  <c r="C28" i="2"/>
  <c r="D28" i="2"/>
  <c r="E28" i="2"/>
  <c r="F28" i="2"/>
  <c r="G28" i="2"/>
  <c r="H28" i="2"/>
  <c r="C27" i="35"/>
  <c r="AK10" i="35"/>
  <c r="AL10" i="35"/>
  <c r="AM10" i="35"/>
  <c r="AK11" i="35"/>
  <c r="AL11" i="35"/>
  <c r="AM11" i="35"/>
  <c r="AK12" i="35"/>
  <c r="AL12" i="35"/>
  <c r="AM12" i="35"/>
  <c r="AM9" i="35"/>
  <c r="AL9" i="35"/>
  <c r="AK9" i="35"/>
  <c r="H21" i="2"/>
  <c r="AP12" i="35" s="1"/>
  <c r="H19" i="2"/>
  <c r="AP11" i="35" s="1"/>
  <c r="H17" i="2"/>
  <c r="AP10" i="35" s="1"/>
  <c r="BE11" i="35" l="1"/>
  <c r="BE12" i="35"/>
  <c r="BE10" i="35"/>
  <c r="AQ12" i="35"/>
  <c r="AQ11" i="35"/>
  <c r="AQ10" i="35"/>
  <c r="D6" i="35" l="1"/>
  <c r="B6" i="35" s="1"/>
  <c r="J11" i="2"/>
  <c r="M81" i="35"/>
  <c r="M80" i="35"/>
  <c r="M72" i="35"/>
  <c r="M73" i="35"/>
  <c r="M74" i="35"/>
  <c r="M75" i="35"/>
  <c r="M76" i="35"/>
  <c r="M77" i="35"/>
  <c r="M71" i="35"/>
  <c r="M68" i="35"/>
  <c r="M58" i="35"/>
  <c r="M59" i="35"/>
  <c r="M60" i="35"/>
  <c r="M61" i="35"/>
  <c r="M62" i="35"/>
  <c r="M63" i="35"/>
  <c r="M64" i="35"/>
  <c r="M65" i="35"/>
  <c r="M57" i="35"/>
  <c r="G4" i="35" l="1"/>
  <c r="AP4" i="35"/>
  <c r="R4" i="35"/>
  <c r="R6" i="35" s="1"/>
  <c r="S6" i="35" l="1"/>
  <c r="T4" i="35"/>
  <c r="T6" i="35" s="1"/>
  <c r="H15" i="2"/>
  <c r="BE9" i="35" s="1"/>
  <c r="AT4" i="35"/>
  <c r="AX4" i="35"/>
  <c r="BE4" i="35" l="1"/>
  <c r="AQ9" i="35"/>
  <c r="AP9" i="35"/>
  <c r="AP14" i="35" s="1"/>
  <c r="AP15" i="35"/>
  <c r="AP17" i="35"/>
  <c r="AP16" i="35"/>
  <c r="V30" i="35"/>
  <c r="V31" i="35" s="1"/>
  <c r="V32" i="35" s="1"/>
  <c r="V33" i="35" s="1"/>
  <c r="V34" i="35" s="1"/>
  <c r="AQ4" i="35" l="1"/>
  <c r="AM4" i="35"/>
  <c r="AL4" i="35"/>
  <c r="AK4" i="35"/>
  <c r="U4" i="35"/>
  <c r="W4" i="35" s="1"/>
  <c r="Q4" i="35"/>
  <c r="P4" i="35"/>
  <c r="N4" i="35"/>
  <c r="K4" i="35"/>
  <c r="H4" i="35"/>
  <c r="B35" i="35"/>
  <c r="B33" i="35"/>
  <c r="AT6" i="35" l="1"/>
  <c r="I6" i="35"/>
  <c r="J4" i="35"/>
  <c r="L6" i="35"/>
  <c r="M4" i="35"/>
  <c r="D32" i="2" l="1"/>
  <c r="D29" i="2" s="1"/>
  <c r="K46" i="35"/>
  <c r="K45" i="35"/>
  <c r="AV38" i="35"/>
  <c r="AL38" i="35"/>
  <c r="AW38" i="35" s="1"/>
  <c r="AV37" i="35"/>
  <c r="AL37" i="35"/>
  <c r="AW37" i="35" s="1"/>
  <c r="O40" i="35"/>
  <c r="O43" i="35" s="1"/>
  <c r="K35" i="35"/>
  <c r="K37" i="35" s="1"/>
  <c r="F51" i="35" s="1"/>
  <c r="F35" i="35"/>
  <c r="F37" i="35" s="1"/>
  <c r="B16" i="35" s="1"/>
  <c r="C16" i="35" s="1"/>
  <c r="AV34" i="35"/>
  <c r="AL34" i="35"/>
  <c r="AW34" i="35" s="1"/>
  <c r="AV33" i="35"/>
  <c r="AS33" i="35"/>
  <c r="AW33" i="35" s="1"/>
  <c r="AV32" i="35"/>
  <c r="AS32" i="35"/>
  <c r="AW32" i="35" s="1"/>
  <c r="AW30" i="35"/>
  <c r="AV30" i="35"/>
  <c r="AW29" i="35"/>
  <c r="AV29" i="35"/>
  <c r="AW28" i="35"/>
  <c r="AV28" i="35"/>
  <c r="C12" i="35"/>
  <c r="C11" i="35"/>
  <c r="C10" i="35"/>
  <c r="C9" i="35"/>
  <c r="C8" i="35"/>
  <c r="C7" i="35"/>
  <c r="U6" i="35"/>
  <c r="Q6" i="35"/>
  <c r="P6" i="35"/>
  <c r="N6" i="35"/>
  <c r="K6" i="35"/>
  <c r="H6" i="35"/>
  <c r="R9" i="35" s="1"/>
  <c r="R11" i="35" s="1"/>
  <c r="G6" i="35"/>
  <c r="C6" i="35"/>
  <c r="W6" i="35"/>
  <c r="H3" i="35"/>
  <c r="G3" i="35" s="1"/>
  <c r="E6" i="35" s="1"/>
  <c r="AK14" i="35" l="1"/>
  <c r="AK15" i="35"/>
  <c r="AK17" i="35"/>
  <c r="AK16" i="35"/>
  <c r="AQ14" i="35"/>
  <c r="AQ16" i="35"/>
  <c r="AQ15" i="35"/>
  <c r="AQ17" i="35"/>
  <c r="AA6" i="35"/>
  <c r="C26" i="2" s="1"/>
  <c r="V6" i="35"/>
  <c r="K51" i="35"/>
  <c r="BB4" i="35"/>
  <c r="B39" i="35"/>
  <c r="H51" i="35"/>
  <c r="B14" i="35" s="1"/>
  <c r="C14" i="35" s="1"/>
  <c r="AE6" i="35"/>
  <c r="AD6" i="35"/>
  <c r="H26" i="2" s="1"/>
  <c r="AB6" i="35"/>
  <c r="D26" i="2" s="1"/>
  <c r="Z6" i="35"/>
  <c r="K47" i="35"/>
  <c r="F52" i="35" s="1"/>
  <c r="O35" i="35"/>
  <c r="B34" i="35" s="1"/>
  <c r="F3" i="35"/>
  <c r="F6" i="35" s="1"/>
  <c r="I26" i="2" l="1"/>
  <c r="B26" i="2"/>
  <c r="C39" i="35"/>
  <c r="BB6" i="35"/>
  <c r="K52" i="35"/>
  <c r="H52" i="35"/>
  <c r="B15" i="35" s="1"/>
  <c r="B13" i="35" s="1"/>
  <c r="AF6" i="35" s="1"/>
  <c r="E26" i="2" s="1"/>
  <c r="AB11" i="35"/>
  <c r="C15" i="35" l="1"/>
  <c r="C13" i="35" l="1"/>
  <c r="AG6" i="35"/>
  <c r="F26" i="2" l="1"/>
  <c r="M6" i="35" l="1"/>
  <c r="J6" i="35"/>
  <c r="O4" i="35"/>
  <c r="AL15" i="35" l="1"/>
  <c r="AL17" i="35"/>
  <c r="AL16" i="35"/>
  <c r="AL14" i="35"/>
  <c r="AO16" i="35"/>
  <c r="AN14" i="35"/>
  <c r="AN17" i="35"/>
  <c r="AM15" i="35"/>
  <c r="AO17" i="35"/>
  <c r="AN15" i="35"/>
  <c r="AO15" i="35"/>
  <c r="AN16" i="35"/>
  <c r="AO14" i="35"/>
  <c r="AM16" i="35"/>
  <c r="AM17" i="35"/>
  <c r="AM14" i="35"/>
  <c r="O6" i="35"/>
  <c r="AC6" i="35" s="1"/>
  <c r="AH6" i="35" s="1"/>
  <c r="AS14" i="35" l="1"/>
  <c r="AS16" i="35"/>
  <c r="AS17" i="35"/>
  <c r="AS15" i="35"/>
  <c r="AH9" i="35"/>
  <c r="X6" i="35"/>
  <c r="G26" i="2"/>
  <c r="X13" i="35" l="1"/>
  <c r="X14" i="35" s="1"/>
  <c r="BE16" i="35"/>
  <c r="BE17" i="35"/>
  <c r="AX16" i="35"/>
  <c r="AX17" i="35"/>
  <c r="AX14" i="35"/>
  <c r="AX15" i="35"/>
  <c r="BE15" i="35"/>
  <c r="BE14" i="35"/>
  <c r="AS18" i="35"/>
  <c r="AR6" i="35" s="1"/>
  <c r="C42" i="35"/>
  <c r="AI4" i="35"/>
  <c r="BB10" i="35"/>
  <c r="BB11" i="35" s="1"/>
  <c r="B32" i="2"/>
  <c r="B29" i="2" s="1"/>
  <c r="BE18" i="35" l="1"/>
  <c r="BE6" i="35" s="1"/>
  <c r="BH6" i="35" s="1"/>
  <c r="BI6" i="35" s="1"/>
  <c r="AX18" i="35"/>
  <c r="AX6" i="35" s="1"/>
  <c r="BN6" i="35" s="1"/>
  <c r="BO6" i="35" s="1"/>
  <c r="C32" i="2"/>
  <c r="C29" i="2" s="1"/>
  <c r="I28" i="2"/>
  <c r="AA11" i="35"/>
  <c r="BK6" i="35"/>
  <c r="BL6" i="35" s="1"/>
  <c r="AI6" i="35"/>
  <c r="AH7" i="35"/>
  <c r="J26" i="2"/>
  <c r="E27" i="2" s="1"/>
  <c r="Z11" i="35"/>
  <c r="B33" i="2" l="1"/>
  <c r="D33" i="2"/>
  <c r="C33" i="2"/>
  <c r="E32" i="2"/>
  <c r="E33" i="2" s="1"/>
  <c r="AC11" i="35"/>
  <c r="AH10" i="35"/>
  <c r="G32" i="2"/>
  <c r="F29" i="2" s="1"/>
  <c r="AD11" i="35"/>
  <c r="F32" i="2"/>
  <c r="E29" i="2" s="1"/>
  <c r="C27" i="2"/>
  <c r="H27" i="2"/>
  <c r="D27" i="2"/>
  <c r="J27" i="2"/>
  <c r="F27" i="2"/>
  <c r="I27" i="2"/>
  <c r="B27" i="2"/>
  <c r="G27" i="2"/>
  <c r="AE11" i="35" l="1"/>
  <c r="AG11" i="35" s="1"/>
  <c r="I32" i="2"/>
  <c r="G33" i="2" l="1"/>
  <c r="J32" i="2"/>
  <c r="I33" i="2"/>
  <c r="F33" i="2"/>
</calcChain>
</file>

<file path=xl/sharedStrings.xml><?xml version="1.0" encoding="utf-8"?>
<sst xmlns="http://schemas.openxmlformats.org/spreadsheetml/2006/main" count="560" uniqueCount="296">
  <si>
    <t>Zement</t>
  </si>
  <si>
    <t>Luftporenbildner</t>
  </si>
  <si>
    <t>Fließmittel</t>
  </si>
  <si>
    <t>Feuchte Sand</t>
  </si>
  <si>
    <t>REZEPT kg/m³</t>
  </si>
  <si>
    <t>Sand 0/2 trocken</t>
  </si>
  <si>
    <t>Anmach-wasser</t>
  </si>
  <si>
    <t>Luftporen-bildner</t>
  </si>
  <si>
    <t>Sand</t>
  </si>
  <si>
    <t>Kies</t>
  </si>
  <si>
    <t>Wasser</t>
  </si>
  <si>
    <t>kg CO2e/kg</t>
  </si>
  <si>
    <t>m³ Beton</t>
  </si>
  <si>
    <t>Feuchte Kies</t>
  </si>
  <si>
    <t>Kies 2/32 trocken</t>
  </si>
  <si>
    <t>Wasser abzüglich Feuchte</t>
  </si>
  <si>
    <t>RB 2/32 trocken</t>
  </si>
  <si>
    <t>Feuchte RB</t>
  </si>
  <si>
    <t>SUMME</t>
  </si>
  <si>
    <t>t Beton</t>
  </si>
  <si>
    <t>Rezepte</t>
  </si>
  <si>
    <t>OB GK8 WB</t>
  </si>
  <si>
    <t>OB GK8 , F38</t>
  </si>
  <si>
    <t>RK 0/1</t>
  </si>
  <si>
    <t>EBK 4/8 GS</t>
  </si>
  <si>
    <t>CEM II/B-S 42,5 N</t>
  </si>
  <si>
    <t>RK 0/2</t>
  </si>
  <si>
    <t>Splitt 4/8</t>
  </si>
  <si>
    <t>OB C2 GKB</t>
  </si>
  <si>
    <t>GK 5/8</t>
  </si>
  <si>
    <t>GK 0/2</t>
  </si>
  <si>
    <t>UB GK32, RB</t>
  </si>
  <si>
    <t>RK 0/4</t>
  </si>
  <si>
    <t>RB 4/8, 8/16, 16/32</t>
  </si>
  <si>
    <t>mögliche Feuchte</t>
  </si>
  <si>
    <t>RB 4/8</t>
  </si>
  <si>
    <t>RB 8/16</t>
  </si>
  <si>
    <t>RB 16/32</t>
  </si>
  <si>
    <t>Kernfeuchte</t>
  </si>
  <si>
    <t>anrechbare Kernfeuchte</t>
  </si>
  <si>
    <t>Rohdichte</t>
  </si>
  <si>
    <t>UB GK32 C1-C2</t>
  </si>
  <si>
    <t>wirksames Wasser</t>
  </si>
  <si>
    <t>RK 4/8, 8/16, 16/32</t>
  </si>
  <si>
    <t>W/B</t>
  </si>
  <si>
    <t>GWP</t>
  </si>
  <si>
    <t>kg CO2e je Tonne</t>
  </si>
  <si>
    <t>Beton</t>
  </si>
  <si>
    <t>Ausbau</t>
  </si>
  <si>
    <t>Guillotine</t>
  </si>
  <si>
    <t>Hydraulikhammerbagger</t>
  </si>
  <si>
    <t>Bagger zum Beladen</t>
  </si>
  <si>
    <t>l/h</t>
  </si>
  <si>
    <t>Ausbauleistung</t>
  </si>
  <si>
    <t>m³/h</t>
  </si>
  <si>
    <t>Gesamt</t>
  </si>
  <si>
    <t>Dieselverbrauch</t>
  </si>
  <si>
    <t>l/m³</t>
  </si>
  <si>
    <t>Prallmühle auf &lt;32mm</t>
  </si>
  <si>
    <t>Brecher und Waschsieben</t>
  </si>
  <si>
    <t>Aufbereitungsleistung</t>
  </si>
  <si>
    <t>mobile Aufbereitung</t>
  </si>
  <si>
    <t>mobile Mischanlage</t>
  </si>
  <si>
    <t>GK in Vorsilo, auf Wiegeförderband, in Elevator, in Mischer. Dann Zement, Wasser und Zusatzmittel. Ca. 1 Minute mischen</t>
  </si>
  <si>
    <t>Dieselaggregat 800 kVa</t>
  </si>
  <si>
    <t>stationäre Mischanlage</t>
  </si>
  <si>
    <t>Stromverbrauch</t>
  </si>
  <si>
    <t>Mischleistung mobil UB 450 kVA</t>
  </si>
  <si>
    <t>Mischleistung mobil OB  150 kVA</t>
  </si>
  <si>
    <t>Anschlussleistung</t>
  </si>
  <si>
    <t>Mischleistung</t>
  </si>
  <si>
    <t>Diesel</t>
  </si>
  <si>
    <t>Mischen</t>
  </si>
  <si>
    <t>km</t>
  </si>
  <si>
    <t>zur Baustelle</t>
  </si>
  <si>
    <t>Summe Antransport</t>
  </si>
  <si>
    <t>kg CO2e je tkm</t>
  </si>
  <si>
    <t>kg CO2e je l</t>
  </si>
  <si>
    <t>t/m3</t>
  </si>
  <si>
    <t>FM</t>
  </si>
  <si>
    <t>Herstellung</t>
  </si>
  <si>
    <t>Transport</t>
  </si>
  <si>
    <t>Verbrauchsdaten</t>
  </si>
  <si>
    <t>Betonrezepte</t>
  </si>
  <si>
    <t>A1-A3</t>
  </si>
  <si>
    <t>Rucksack</t>
  </si>
  <si>
    <t>Materialrucksack A1</t>
  </si>
  <si>
    <t>Transport A2</t>
  </si>
  <si>
    <t>Herstellung A3</t>
  </si>
  <si>
    <t>Transport A4</t>
  </si>
  <si>
    <t>Ausbau C1</t>
  </si>
  <si>
    <t>A1-A4</t>
  </si>
  <si>
    <t>A1</t>
  </si>
  <si>
    <t>A2</t>
  </si>
  <si>
    <t>A3</t>
  </si>
  <si>
    <t>A4</t>
  </si>
  <si>
    <t>Treibhausgasabschätzung in kg CO2e je m³ Beton</t>
  </si>
  <si>
    <t>LP</t>
  </si>
  <si>
    <t>Sand 0/2 0/4 trocken</t>
  </si>
  <si>
    <t>Sand 0/2 0/4 feucht</t>
  </si>
  <si>
    <t>Kies 4/32 trocken</t>
  </si>
  <si>
    <t>Kies 4/32 feucht</t>
  </si>
  <si>
    <t>RB 4/32 trocken</t>
  </si>
  <si>
    <t>RB 4/32 feucht</t>
  </si>
  <si>
    <t>OB GK8</t>
  </si>
  <si>
    <t>CEM I 42,5 N</t>
  </si>
  <si>
    <t>Splitt 2/5, 5/8</t>
  </si>
  <si>
    <t>UB GK 0/22</t>
  </si>
  <si>
    <t>Splitt 2/8, 8/16, 16/22</t>
  </si>
  <si>
    <t>Brechsiebmaschine 0/22</t>
  </si>
  <si>
    <t>Radlader</t>
  </si>
  <si>
    <t>Bagger</t>
  </si>
  <si>
    <t>stationäre Aufbereitung</t>
  </si>
  <si>
    <t>RB stat.</t>
  </si>
  <si>
    <t>RB mob.</t>
  </si>
  <si>
    <t>l/t</t>
  </si>
  <si>
    <t>stationär</t>
  </si>
  <si>
    <t>% Zementanteil am GWP</t>
  </si>
  <si>
    <t>RB Literat.</t>
  </si>
  <si>
    <t>RB eigen</t>
  </si>
  <si>
    <t>kg CO2e/m³</t>
  </si>
  <si>
    <t>kg CO2e je kWh</t>
  </si>
  <si>
    <t>Strom (Industrie Mix AT)</t>
  </si>
  <si>
    <t>Mischen mob. Diesel</t>
  </si>
  <si>
    <t>Mischen stat. Strom</t>
  </si>
  <si>
    <t>Mischen eigen</t>
  </si>
  <si>
    <t>A2 Transport</t>
  </si>
  <si>
    <t>Anmach
wasser [kg]</t>
  </si>
  <si>
    <t>Luftporen
bildner [kg]</t>
  </si>
  <si>
    <t>Fließ
mittel [kg]</t>
  </si>
  <si>
    <t>Rezept</t>
  </si>
  <si>
    <t>Zement
[kg]</t>
  </si>
  <si>
    <t>Zement
[km]</t>
  </si>
  <si>
    <t>Recyclinganteil</t>
  </si>
  <si>
    <t>Rucksack
A1</t>
  </si>
  <si>
    <t>Herstellung
A3</t>
  </si>
  <si>
    <t>zur Bau
stelle [km]</t>
  </si>
  <si>
    <t>Transport
A2</t>
  </si>
  <si>
    <t>[kg CO2e/m³]</t>
  </si>
  <si>
    <t>Module
A1 - A3</t>
  </si>
  <si>
    <t>Transp. Bst.
A4</t>
  </si>
  <si>
    <t>Dichte
[kg/m³]</t>
  </si>
  <si>
    <t>kg CO2e/t</t>
  </si>
  <si>
    <t>AUSBAU</t>
  </si>
  <si>
    <t>kg (ohne RB)</t>
  </si>
  <si>
    <t>kg CO2e/m³ ohne RB</t>
  </si>
  <si>
    <t>mobil: Diesel</t>
  </si>
  <si>
    <t>stationär: Strom</t>
  </si>
  <si>
    <t>Auswahl von Eingabe</t>
  </si>
  <si>
    <t>Wert von Eingabe</t>
  </si>
  <si>
    <t>Zugriff  von Eingabe</t>
  </si>
  <si>
    <t>Ergebnisse</t>
  </si>
  <si>
    <t>Abschätzung des Treibhausgaspotenzials für 1 m³ Beton</t>
  </si>
  <si>
    <t>Treibhausgaspotenzial Materialrucksack [Modul A1]</t>
  </si>
  <si>
    <t>Transport C2</t>
  </si>
  <si>
    <t>RB stationär (ohne Ausbau)</t>
  </si>
  <si>
    <t>RB mobil (ohne Ausbau)</t>
  </si>
  <si>
    <t>Sanierung mit C1 und C2</t>
  </si>
  <si>
    <t>Neubau ohne C1 und C2</t>
  </si>
  <si>
    <t>C1 - C2</t>
  </si>
  <si>
    <t>LKW 32t bis 40t zul. Gesamtgewicht (10m³ / 24t Beton bzw. Segmentmuldenanhänger mit 27t Nutzlast bzw. 24m³)</t>
  </si>
  <si>
    <t>l/100 km</t>
  </si>
  <si>
    <t>l/km</t>
  </si>
  <si>
    <t>kg CO2/km</t>
  </si>
  <si>
    <t>24 tonnen</t>
  </si>
  <si>
    <t>kg CO2/t*km</t>
  </si>
  <si>
    <t>100% Beladung</t>
  </si>
  <si>
    <t>50% Beladung</t>
  </si>
  <si>
    <t>Transport Abgleich DB</t>
  </si>
  <si>
    <t>laut Ecoinvent</t>
  </si>
  <si>
    <t>Ausbau &amp; Transp. C1-C2</t>
  </si>
  <si>
    <t>Ergebnis
A1-A4 &amp; C1-C2</t>
  </si>
  <si>
    <t>=WENN(Eingabemaske!G8="stationär";Berechnung!B15;WENN(Eingabemaske!G8="mobil";Berechnung!B14;0))</t>
  </si>
  <si>
    <t>mobil</t>
  </si>
  <si>
    <t>Einstellung</t>
  </si>
  <si>
    <t>Transport Ausgangsstoffe</t>
  </si>
  <si>
    <t>Oberbeton OB</t>
  </si>
  <si>
    <t>Unterbeton UB</t>
  </si>
  <si>
    <t>Auswahlliste:</t>
  </si>
  <si>
    <t>=WENN(Eingabemaske!B7="OB: 450";450;350)</t>
  </si>
  <si>
    <t>Transport 1 m³ Beton</t>
  </si>
  <si>
    <t>Misch
anlage***</t>
  </si>
  <si>
    <t>michael.gruber@tuwien.ac.at</t>
  </si>
  <si>
    <t>feine GK*
[kg]</t>
  </si>
  <si>
    <t>grobe GK**
[kg]</t>
  </si>
  <si>
    <t>feine GK</t>
  </si>
  <si>
    <t>grobe GK</t>
  </si>
  <si>
    <t>feine GK
[km]</t>
  </si>
  <si>
    <t>grobe GK
[km]</t>
  </si>
  <si>
    <t>Bezeichnung Betonrezept</t>
  </si>
  <si>
    <t>feiner RB</t>
  </si>
  <si>
    <t>grober RB</t>
  </si>
  <si>
    <t>feiner RB**
[kg]</t>
  </si>
  <si>
    <t>grober RB**
[kg]</t>
  </si>
  <si>
    <t>RB 0/4 trocken</t>
  </si>
  <si>
    <t>-</t>
  </si>
  <si>
    <t>RB 0/4 feucht</t>
  </si>
  <si>
    <t>RB / Ausbau-material [km]</t>
  </si>
  <si>
    <t>Die Beurteilung des Treibhausgaspotenzials deckt nur einen Teil der umweltrelevanten Klassifikation von Baumaterialien ab. Andere wichtige Faktoren wie Naturraumbeanspruchung, Versauerungspotenzial, Humantoxizität u.dgl. wurden nicht berücksichtigt. Daher stellen die hier berechneten Ergebnisse nicht die gesamte Umweltbelastung von Beton dar. Diese Berechnungshilfe dient zur Abschätzung des Treibhauspotenzials der Betonherstellung mit Berücksichtigung des Recyclingmaterialanteils. Obwohl die Betonherstellung von vielen Faktoren abhängig ist, wurden nur die auf das Treibhauspotenzial einflussreichsten berücksichtigt. Ferner wurden die zur Berechnung benötigten Daten von europäischen Quellen bevorzugt, um regionale Gegebenheiten bestmöglich abbilden zu können. 
Die dieser Berechnung zugrundeliegenden Daten dürfen nur mit Erlaubnis der technischen Universität Wien - Instituts für Verkehrswissenschaften - Forschungsbereich Straßenwesen verändert werden. Jegliche Einflussnahme auf die Berechnung ist daher ausnahmslos der TU Wien vorbehalten.</t>
  </si>
  <si>
    <t>Version 1.4</t>
  </si>
  <si>
    <t>0/4 Gesamt</t>
  </si>
  <si>
    <t>RB Anteil an Gesamt</t>
  </si>
  <si>
    <t>Zementsorte</t>
  </si>
  <si>
    <t>CEM II/A-S 42,5 N</t>
  </si>
  <si>
    <t>CEM II/A-S 42,5 R WT 27 C3A-frei</t>
  </si>
  <si>
    <t>CEM II/A-S 52,5 N</t>
  </si>
  <si>
    <t>CEM II/A-M (S-LL) 42,5 R WT 38</t>
  </si>
  <si>
    <t>CEM II/B-S 42,5 N (DZ)</t>
  </si>
  <si>
    <t>CEM II/B-M (S-LL) 42,5 N</t>
  </si>
  <si>
    <t>CEM II/B-M (P-S) 32,5 N</t>
  </si>
  <si>
    <t>CEM II/C-M (S-LL) 42,5 N</t>
  </si>
  <si>
    <t>CEM II/C-M (S-LL) 32,5 N/R</t>
  </si>
  <si>
    <t>Alpacem Zement Austria GmbH</t>
  </si>
  <si>
    <t>Baumit GmbH</t>
  </si>
  <si>
    <t>Holcim (Österreich) GmbH</t>
  </si>
  <si>
    <t>CEM II/A-S 42,5 R WT 42 – DER GRÜNE – (Werk Mannersdorf)</t>
  </si>
  <si>
    <t>CEM II/A-S 52,5 N WT 42 – DER GRÜNE – (Werk Retznei)</t>
  </si>
  <si>
    <t>CEM II/B-M (S-L) 42,5 N WT 38 – ECOPlanet SCHWARZ – (Werk Mannersdorf)</t>
  </si>
  <si>
    <t>CEM II/B-M (S-L) 42,5 N WT 38 – ECOPlanet SCHWARZ – (Werk Retznei)</t>
  </si>
  <si>
    <t>CEM II/B-M (S-LL) 42,5 N WT 38 – ECOPlanet GRAU – (Werk Mannersdorf)</t>
  </si>
  <si>
    <t>CEM II/C-M (S-LL) 42,5 N – ECOPlanet ROT – (Werk Mannersdorf)</t>
  </si>
  <si>
    <t>CEM II/C-M (S-F) 42,5 N – ECOPlanet RC – (Werk Retznei)</t>
  </si>
  <si>
    <t>Leube Zement GmbH</t>
  </si>
  <si>
    <t>CEM II/A-S 42,5 R WT 38</t>
  </si>
  <si>
    <t>CEM II/B-M (S-LL) 42,5 N WT 33</t>
  </si>
  <si>
    <t>Alpacem</t>
  </si>
  <si>
    <t>Baumit</t>
  </si>
  <si>
    <t>Holcim</t>
  </si>
  <si>
    <t>Leube</t>
  </si>
  <si>
    <t>CEM II/A-S 42,5 R WT 42 – Werk Mannersdorf</t>
  </si>
  <si>
    <t>CEM II/A-S 52,5 N WT 42 – Werk Retznei</t>
  </si>
  <si>
    <t>CEM II/B-M (S-L) 42,5 N WT 38 – Werk Mannersdorf</t>
  </si>
  <si>
    <t>CEM II/B-M (S-L) 42,5 N WT 38 – Werk Retznei</t>
  </si>
  <si>
    <t>CEM II/B-M (S-LL) 42,5 N WT 38 – Werk Mannersdorf</t>
  </si>
  <si>
    <t>CEM II/C-M (S-LL) 42,5 N – Werk Mannersdorf</t>
  </si>
  <si>
    <t>CEM II/C-M (S-F) 42,5 N – Werk Retznei</t>
  </si>
  <si>
    <t>x</t>
  </si>
  <si>
    <t>Alpacem - CEM II/A-S 42,5 N</t>
  </si>
  <si>
    <t>Alpacem - CEM II/A-S 42,5 R WT 27 C3A-frei</t>
  </si>
  <si>
    <t>Alpacem - CEM II/A-S 52,5 N</t>
  </si>
  <si>
    <t>Alpacem - CEM II/A-M (S-LL) 42,5 R WT 38</t>
  </si>
  <si>
    <t>Alpacem - CEM II/B-S 42,5 N (DZ)</t>
  </si>
  <si>
    <t>Alpacem - CEM II/B-M (S-LL) 42,5 N</t>
  </si>
  <si>
    <t>Alpacem - CEM II/B-M (P-S) 32,5 N</t>
  </si>
  <si>
    <t>Alpacem - CEM II/C-M (S-LL) 42,5 N</t>
  </si>
  <si>
    <t>Alpacem - CEM II/C-M (S-LL) 32,5 N/R</t>
  </si>
  <si>
    <t>Baumit - CEM II/C-M (S-LL) 42,5 N</t>
  </si>
  <si>
    <t>Leube - CEM II/A-S 42,5 R WT 38</t>
  </si>
  <si>
    <t>Leube - CEM II/B-M (S-LL) 42,5 N WT 33</t>
  </si>
  <si>
    <t>Holcim - CEM II/A-S 42,5 R WT 42 – Mannersdorf</t>
  </si>
  <si>
    <t>Holcim - CEM II/A-S 52,5 N WT 42 – Retznei</t>
  </si>
  <si>
    <t>Holcim - CEM II/B-M (S-L) 42,5 N WT 38 – Mannersdorf</t>
  </si>
  <si>
    <t>Holcim - CEM II/B-M (S-L) 42,5 N WT 38 – Retznei</t>
  </si>
  <si>
    <t>Holcim - CEM II/B-M (S-LL) 42,5 N WT 38 – Mannersdorf</t>
  </si>
  <si>
    <t>Holcim - CEM II/C-M (S-LL) 42,5 N – Mannersdorf</t>
  </si>
  <si>
    <t>Holcim - CEM II/C-M (S-F) 42,5 N – Retznei</t>
  </si>
  <si>
    <t>ALTER WERT</t>
  </si>
  <si>
    <t>Michael R. Gruber</t>
  </si>
  <si>
    <t>Transport Bahn Diesel</t>
  </si>
  <si>
    <t>Transport Bahn Elektro</t>
  </si>
  <si>
    <t>Transport LKW Diesel</t>
  </si>
  <si>
    <t>Transport LKW Elektro</t>
  </si>
  <si>
    <t>LKW Diesel</t>
  </si>
  <si>
    <t>LKW Elektro</t>
  </si>
  <si>
    <t>Bahn Diesel</t>
  </si>
  <si>
    <t>Bahn Elektro</t>
  </si>
  <si>
    <t>kg CO2-eq/tkm (50% Beladung (voll hin - leer zurück)</t>
  </si>
  <si>
    <t>Transport ZUG Güter (74% elektrifiziert)</t>
  </si>
  <si>
    <t xml:space="preserve"> Transportart
[-]</t>
  </si>
  <si>
    <t>Nutzungsbedingungen</t>
  </si>
  <si>
    <t>Kontakt</t>
  </si>
  <si>
    <t>TU Wien - IVWS - E230-3</t>
  </si>
  <si>
    <t>https://www.tuwien.at/cee/transport/road</t>
  </si>
  <si>
    <t>Betonhersteller</t>
  </si>
  <si>
    <t>Datum</t>
  </si>
  <si>
    <t>[kg CO2e/t]</t>
  </si>
  <si>
    <t>527,00 ALT</t>
  </si>
  <si>
    <t>1880 ALT</t>
  </si>
  <si>
    <t>Recyclinganteil an Gesamtmasse</t>
  </si>
  <si>
    <t>Lieferanten grobe GK</t>
  </si>
  <si>
    <t>Lieferanten feine GK</t>
  </si>
  <si>
    <t>Lieferant A; Lieferant B;…</t>
  </si>
  <si>
    <t>Hersteller A</t>
  </si>
  <si>
    <t>0/2</t>
  </si>
  <si>
    <t>0/4</t>
  </si>
  <si>
    <t>feine GK Unterbeton:</t>
  </si>
  <si>
    <t>feiner RB:</t>
  </si>
  <si>
    <t>4/32</t>
  </si>
  <si>
    <t>grober RB:</t>
  </si>
  <si>
    <t>*   feine GK Oberbeton:</t>
  </si>
  <si>
    <t>**  grobe GK:</t>
  </si>
  <si>
    <t>***  Mischanlage</t>
  </si>
  <si>
    <t>CEM II/A-S 42,5/52,5 N/R</t>
  </si>
  <si>
    <t>CEM II/B-M (S-...) 42,5/52,5 N/R</t>
  </si>
  <si>
    <t>z.B. UB GK32</t>
  </si>
  <si>
    <t>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</si>
</sst>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0.0000000"/>
  </numFmts>
  <fonts count="17" x14ac:knownFonts="1">
    <font>
      <sz val="10"/>
      <color theme="1"/>
      <name val="Arial"/>
      <family val="2"/>
    </font>
    <font>
      <b/>
      <sz val="10"/>
      <color theme="1"/>
      <name val="Arial"/>
      <family val="2"/>
    </font>
    <font>
      <sz val="10"/>
      <color rgb="FFFF0000"/>
      <name val="Arial"/>
      <family val="2"/>
    </font>
    <font>
      <sz val="10"/>
      <color theme="1"/>
      <name val="Arial"/>
      <family val="2"/>
    </font>
    <font>
      <sz val="11"/>
      <color theme="1"/>
      <name val="Calibri"/>
      <family val="2"/>
      <scheme val="minor"/>
    </font>
    <font>
      <sz val="10"/>
      <color theme="0" tint="-0.34998626667073579"/>
      <name val="Arial"/>
      <family val="2"/>
    </font>
    <font>
      <sz val="10"/>
      <name val="Arial"/>
      <family val="2"/>
    </font>
    <font>
      <sz val="10"/>
      <color theme="0" tint="-0.249977111117893"/>
      <name val="Arial"/>
      <family val="2"/>
    </font>
    <font>
      <sz val="10"/>
      <color theme="0"/>
      <name val="Arial"/>
      <family val="2"/>
    </font>
    <font>
      <sz val="26"/>
      <color theme="0"/>
      <name val="Arial"/>
      <family val="2"/>
    </font>
    <font>
      <b/>
      <sz val="10"/>
      <color theme="0"/>
      <name val="Arial"/>
      <family val="2"/>
    </font>
    <font>
      <b/>
      <sz val="8"/>
      <color theme="0"/>
      <name val="Arial"/>
      <family val="2"/>
    </font>
    <font>
      <sz val="8"/>
      <color theme="0"/>
      <name val="Arial"/>
      <family val="2"/>
    </font>
    <font>
      <sz val="10"/>
      <color theme="1" tint="0.34998626667073579"/>
      <name val="Arial"/>
      <family val="2"/>
    </font>
    <font>
      <sz val="4"/>
      <color theme="1" tint="0.34998626667073579"/>
      <name val="Arial"/>
      <family val="2"/>
    </font>
    <font>
      <sz val="10"/>
      <color theme="1" tint="0.249977111117893"/>
      <name val="Arial"/>
      <family val="2"/>
    </font>
    <font>
      <sz val="9"/>
      <color theme="0"/>
      <name val="Arial"/>
      <family val="2"/>
    </font>
  </fonts>
  <fills count="15">
    <fill>
      <patternFill patternType="none"/>
    </fill>
    <fill>
      <patternFill patternType="gray125"/>
    </fill>
    <fill>
      <patternFill patternType="solid">
        <fgColor theme="9" tint="0.79998168889431442"/>
        <bgColor indexed="64"/>
      </patternFill>
    </fill>
    <fill>
      <patternFill patternType="solid">
        <fgColor theme="7"/>
        <bgColor indexed="64"/>
      </patternFill>
    </fill>
    <fill>
      <patternFill patternType="solid">
        <fgColor rgb="FF953735"/>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9"/>
        <bgColor indexed="64"/>
      </patternFill>
    </fill>
    <fill>
      <patternFill patternType="solid">
        <fgColor theme="5"/>
        <bgColor indexed="64"/>
      </patternFill>
    </fill>
    <fill>
      <patternFill patternType="solid">
        <fgColor theme="4"/>
        <bgColor indexed="64"/>
      </patternFill>
    </fill>
    <fill>
      <patternFill patternType="solid">
        <fgColor rgb="FFC00000"/>
        <bgColor indexed="64"/>
      </patternFill>
    </fill>
    <fill>
      <patternFill patternType="solid">
        <fgColor theme="3"/>
        <bgColor indexed="64"/>
      </patternFill>
    </fill>
    <fill>
      <patternFill patternType="solid">
        <fgColor theme="6"/>
        <bgColor indexed="64"/>
      </patternFill>
    </fill>
    <fill>
      <patternFill patternType="solid">
        <fgColor theme="9" tint="-0.249977111117893"/>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4" fillId="0" borderId="0"/>
    <xf numFmtId="9" fontId="3" fillId="0" borderId="0" applyFont="0" applyFill="0" applyBorder="0" applyAlignment="0" applyProtection="0"/>
  </cellStyleXfs>
  <cellXfs count="143">
    <xf numFmtId="0" fontId="0" fillId="0" borderId="0" xfId="0"/>
    <xf numFmtId="0" fontId="2" fillId="0" borderId="0" xfId="0" applyFont="1" applyAlignment="1">
      <alignment horizontal="right" vertical="center"/>
    </xf>
    <xf numFmtId="0" fontId="0" fillId="0" borderId="0" xfId="0" applyAlignment="1">
      <alignment horizontal="right" vertical="center"/>
    </xf>
    <xf numFmtId="2" fontId="0" fillId="0" borderId="0" xfId="0" applyNumberFormat="1" applyAlignment="1">
      <alignment horizontal="right" vertical="center"/>
    </xf>
    <xf numFmtId="0" fontId="0" fillId="0" borderId="0" xfId="0" applyAlignment="1">
      <alignment horizontal="right" vertical="center" wrapText="1"/>
    </xf>
    <xf numFmtId="0" fontId="0" fillId="3" borderId="0" xfId="0" applyFill="1" applyAlignment="1">
      <alignment horizontal="right" vertical="center"/>
    </xf>
    <xf numFmtId="0" fontId="0" fillId="2" borderId="0" xfId="0" applyFill="1" applyAlignment="1">
      <alignment horizontal="right" vertical="center"/>
    </xf>
    <xf numFmtId="0" fontId="0" fillId="0" borderId="0" xfId="0" applyAlignment="1">
      <alignment horizontal="right"/>
    </xf>
    <xf numFmtId="0" fontId="0" fillId="4" borderId="0" xfId="0" applyFill="1" applyAlignment="1">
      <alignment horizontal="right" vertical="center" wrapText="1"/>
    </xf>
    <xf numFmtId="0" fontId="8" fillId="4" borderId="0" xfId="0" applyFont="1" applyFill="1" applyAlignment="1">
      <alignment horizontal="right" vertical="center" wrapText="1"/>
    </xf>
    <xf numFmtId="2" fontId="8" fillId="4" borderId="0" xfId="0" applyNumberFormat="1" applyFont="1" applyFill="1" applyAlignment="1">
      <alignment horizontal="right" vertical="center"/>
    </xf>
    <xf numFmtId="0" fontId="0" fillId="4" borderId="0" xfId="0" applyFill="1" applyAlignment="1">
      <alignment horizontal="right" vertical="center"/>
    </xf>
    <xf numFmtId="0" fontId="0" fillId="0" borderId="0" xfId="0" applyAlignment="1">
      <alignment horizontal="left" vertical="center"/>
    </xf>
    <xf numFmtId="0" fontId="8" fillId="4" borderId="0" xfId="0" applyFont="1" applyFill="1" applyAlignment="1">
      <alignment horizontal="right" vertical="center"/>
    </xf>
    <xf numFmtId="165" fontId="0" fillId="0" borderId="0" xfId="2" applyNumberFormat="1" applyFont="1" applyAlignment="1">
      <alignment horizontal="right" vertical="center"/>
    </xf>
    <xf numFmtId="166" fontId="0" fillId="0" borderId="0" xfId="0" applyNumberFormat="1" applyAlignment="1">
      <alignment horizontal="right" vertical="center"/>
    </xf>
    <xf numFmtId="1" fontId="0" fillId="0" borderId="0" xfId="0" applyNumberFormat="1"/>
    <xf numFmtId="1" fontId="0" fillId="0" borderId="0" xfId="0" applyNumberFormat="1" applyAlignment="1">
      <alignment horizontal="right" vertical="center"/>
    </xf>
    <xf numFmtId="166" fontId="8" fillId="4" borderId="0" xfId="0" applyNumberFormat="1" applyFont="1" applyFill="1" applyAlignment="1">
      <alignment horizontal="right" vertical="center"/>
    </xf>
    <xf numFmtId="10" fontId="0" fillId="0" borderId="0" xfId="0" applyNumberFormat="1" applyAlignment="1">
      <alignment horizontal="right" vertical="center"/>
    </xf>
    <xf numFmtId="2" fontId="5" fillId="0" borderId="0" xfId="0" applyNumberFormat="1" applyFont="1" applyAlignment="1">
      <alignment horizontal="right" vertical="center"/>
    </xf>
    <xf numFmtId="164" fontId="0" fillId="0" borderId="0" xfId="0" applyNumberFormat="1" applyAlignment="1">
      <alignment horizontal="right" vertical="center"/>
    </xf>
    <xf numFmtId="167" fontId="0" fillId="0" borderId="0" xfId="0" applyNumberFormat="1" applyAlignment="1">
      <alignment horizontal="right" vertical="center"/>
    </xf>
    <xf numFmtId="167" fontId="5" fillId="0" borderId="0" xfId="0" applyNumberFormat="1" applyFont="1" applyAlignment="1">
      <alignment horizontal="right" vertical="center"/>
    </xf>
    <xf numFmtId="2" fontId="0" fillId="3" borderId="0" xfId="0" applyNumberFormat="1" applyFill="1" applyAlignment="1">
      <alignment horizontal="right" vertical="center"/>
    </xf>
    <xf numFmtId="0" fontId="1" fillId="7" borderId="0" xfId="0" applyFont="1" applyFill="1" applyAlignment="1">
      <alignment horizontal="right" vertical="center"/>
    </xf>
    <xf numFmtId="2" fontId="0" fillId="7" borderId="0" xfId="0" applyNumberFormat="1" applyFill="1" applyAlignment="1">
      <alignment horizontal="right" vertical="center"/>
    </xf>
    <xf numFmtId="0" fontId="0" fillId="7" borderId="0" xfId="0" applyFill="1" applyAlignment="1">
      <alignment horizontal="right" vertical="center"/>
    </xf>
    <xf numFmtId="0" fontId="10" fillId="11" borderId="0" xfId="0" applyFont="1" applyFill="1" applyAlignment="1">
      <alignment horizontal="right" vertical="center"/>
    </xf>
    <xf numFmtId="0" fontId="8" fillId="11" borderId="0" xfId="0" applyFont="1" applyFill="1" applyAlignment="1">
      <alignment horizontal="right" vertical="center"/>
    </xf>
    <xf numFmtId="0" fontId="8" fillId="11" borderId="0" xfId="0" applyFont="1" applyFill="1" applyAlignment="1">
      <alignment horizontal="right" vertical="center" wrapText="1"/>
    </xf>
    <xf numFmtId="2" fontId="8" fillId="11" borderId="0" xfId="0" applyNumberFormat="1" applyFont="1" applyFill="1" applyAlignment="1">
      <alignment horizontal="right" vertical="center"/>
    </xf>
    <xf numFmtId="0" fontId="8" fillId="11" borderId="0" xfId="0" applyFont="1" applyFill="1" applyAlignment="1">
      <alignment horizontal="left" vertical="center"/>
    </xf>
    <xf numFmtId="0" fontId="9" fillId="11" borderId="0" xfId="0" applyFont="1" applyFill="1" applyAlignment="1">
      <alignment horizontal="center" vertical="center"/>
    </xf>
    <xf numFmtId="0" fontId="0" fillId="12" borderId="0" xfId="0" applyFill="1" applyAlignment="1">
      <alignment horizontal="right" vertical="center"/>
    </xf>
    <xf numFmtId="2" fontId="0" fillId="12" borderId="0" xfId="0" applyNumberFormat="1" applyFill="1" applyAlignment="1">
      <alignment horizontal="right" vertical="center"/>
    </xf>
    <xf numFmtId="0" fontId="6" fillId="3" borderId="14" xfId="0" applyFont="1" applyFill="1" applyBorder="1" applyAlignment="1" applyProtection="1">
      <alignment horizontal="center" vertical="center"/>
      <protection locked="0"/>
    </xf>
    <xf numFmtId="2" fontId="6" fillId="3" borderId="14" xfId="0" applyNumberFormat="1" applyFont="1" applyFill="1" applyBorder="1" applyAlignment="1" applyProtection="1">
      <alignment horizontal="center" vertical="center"/>
      <protection locked="0"/>
    </xf>
    <xf numFmtId="9" fontId="6" fillId="3" borderId="14" xfId="2" applyFont="1" applyFill="1" applyBorder="1" applyAlignment="1" applyProtection="1">
      <alignment horizontal="center" vertical="center"/>
      <protection locked="0"/>
    </xf>
    <xf numFmtId="0" fontId="0" fillId="6" borderId="0" xfId="0" applyFill="1"/>
    <xf numFmtId="49" fontId="0" fillId="6" borderId="0" xfId="0" quotePrefix="1" applyNumberFormat="1" applyFill="1"/>
    <xf numFmtId="0" fontId="0" fillId="6" borderId="0" xfId="0" applyFill="1" applyAlignment="1">
      <alignment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7" fillId="6" borderId="0" xfId="0" applyFont="1" applyFill="1" applyAlignment="1">
      <alignment horizontal="center" vertical="center" wrapText="1"/>
    </xf>
    <xf numFmtId="0" fontId="0" fillId="0" borderId="0" xfId="0" applyAlignment="1">
      <alignment wrapText="1"/>
    </xf>
    <xf numFmtId="0" fontId="0" fillId="6" borderId="0" xfId="0" applyFill="1" applyAlignment="1">
      <alignment horizontal="center" vertical="center"/>
    </xf>
    <xf numFmtId="0" fontId="10" fillId="5" borderId="5"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6" xfId="0" applyFont="1" applyFill="1" applyBorder="1" applyAlignment="1">
      <alignment horizontal="center" vertical="center" wrapText="1"/>
    </xf>
    <xf numFmtId="2" fontId="0" fillId="7" borderId="14" xfId="0" applyNumberFormat="1" applyFill="1" applyBorder="1" applyAlignment="1">
      <alignment horizontal="center" vertical="center"/>
    </xf>
    <xf numFmtId="2" fontId="0" fillId="8" borderId="14" xfId="0" applyNumberFormat="1" applyFill="1" applyBorder="1" applyAlignment="1">
      <alignment horizontal="center" vertical="center"/>
    </xf>
    <xf numFmtId="165" fontId="0" fillId="5" borderId="7" xfId="2" applyNumberFormat="1" applyFont="1" applyFill="1" applyBorder="1" applyAlignment="1" applyProtection="1">
      <alignment horizontal="center" vertical="center"/>
    </xf>
    <xf numFmtId="165" fontId="0" fillId="5" borderId="1" xfId="2" applyNumberFormat="1" applyFont="1" applyFill="1" applyBorder="1" applyAlignment="1" applyProtection="1">
      <alignment horizontal="center" vertical="center"/>
    </xf>
    <xf numFmtId="9" fontId="0" fillId="5" borderId="8" xfId="2" applyFont="1" applyFill="1" applyBorder="1" applyAlignment="1" applyProtection="1">
      <alignment horizontal="center" vertical="center"/>
    </xf>
    <xf numFmtId="2" fontId="13" fillId="6" borderId="0" xfId="0" applyNumberFormat="1" applyFont="1" applyFill="1" applyAlignment="1">
      <alignment horizontal="center" vertical="center"/>
    </xf>
    <xf numFmtId="0" fontId="13" fillId="6" borderId="0" xfId="0" applyFont="1" applyFill="1"/>
    <xf numFmtId="0" fontId="10" fillId="5" borderId="12" xfId="0" applyFont="1" applyFill="1" applyBorder="1" applyAlignment="1">
      <alignment horizontal="center" vertical="center" wrapText="1"/>
    </xf>
    <xf numFmtId="0" fontId="10" fillId="5" borderId="5" xfId="0" applyFont="1" applyFill="1" applyBorder="1" applyAlignment="1">
      <alignment horizontal="center" vertical="center"/>
    </xf>
    <xf numFmtId="0" fontId="10" fillId="5" borderId="0" xfId="0" applyFont="1" applyFill="1" applyAlignment="1">
      <alignment horizontal="center" vertical="center"/>
    </xf>
    <xf numFmtId="0" fontId="10" fillId="5" borderId="6" xfId="0" applyFont="1" applyFill="1" applyBorder="1" applyAlignment="1">
      <alignment horizontal="center" vertical="center"/>
    </xf>
    <xf numFmtId="0" fontId="10" fillId="5" borderId="13" xfId="0" applyFont="1" applyFill="1" applyBorder="1" applyAlignment="1">
      <alignment horizontal="center" vertical="center"/>
    </xf>
    <xf numFmtId="2" fontId="0" fillId="9" borderId="14" xfId="0" applyNumberFormat="1" applyFill="1" applyBorder="1" applyAlignment="1">
      <alignment horizontal="center" vertical="center"/>
    </xf>
    <xf numFmtId="2" fontId="0" fillId="10" borderId="14" xfId="0" applyNumberFormat="1" applyFill="1" applyBorder="1" applyAlignment="1">
      <alignment horizontal="center" vertical="center"/>
    </xf>
    <xf numFmtId="2" fontId="0" fillId="3" borderId="14" xfId="0" applyNumberFormat="1" applyFill="1" applyBorder="1" applyAlignment="1">
      <alignment horizontal="center" vertical="center"/>
    </xf>
    <xf numFmtId="0" fontId="8" fillId="6" borderId="0" xfId="0" applyFont="1" applyFill="1" applyAlignment="1">
      <alignment horizontal="left"/>
    </xf>
    <xf numFmtId="0" fontId="8" fillId="6" borderId="0" xfId="0" applyFont="1" applyFill="1" applyAlignment="1">
      <alignment horizontal="right"/>
    </xf>
    <xf numFmtId="0" fontId="11" fillId="6" borderId="0" xfId="0" applyFont="1" applyFill="1"/>
    <xf numFmtId="0" fontId="8" fillId="6" borderId="0" xfId="0" applyFont="1" applyFill="1"/>
    <xf numFmtId="0" fontId="12" fillId="6" borderId="0" xfId="0" applyFont="1" applyFill="1"/>
    <xf numFmtId="49" fontId="12" fillId="6" borderId="0" xfId="0" applyNumberFormat="1" applyFont="1" applyFill="1"/>
    <xf numFmtId="9" fontId="0" fillId="5" borderId="15" xfId="2" applyFont="1" applyFill="1" applyBorder="1" applyAlignment="1" applyProtection="1">
      <alignment horizontal="center" vertical="center"/>
    </xf>
    <xf numFmtId="2" fontId="13" fillId="6" borderId="0" xfId="0" applyNumberFormat="1" applyFont="1" applyFill="1"/>
    <xf numFmtId="2" fontId="14" fillId="6" borderId="0" xfId="0" applyNumberFormat="1" applyFont="1" applyFill="1" applyAlignment="1">
      <alignment horizontal="center" vertical="center" wrapText="1"/>
    </xf>
    <xf numFmtId="2" fontId="0" fillId="13" borderId="11" xfId="0" applyNumberFormat="1" applyFill="1" applyBorder="1" applyAlignment="1">
      <alignment horizontal="center" vertical="center"/>
    </xf>
    <xf numFmtId="0" fontId="0" fillId="0" borderId="0" xfId="0" quotePrefix="1" applyAlignment="1">
      <alignment horizontal="right" vertical="center"/>
    </xf>
    <xf numFmtId="167" fontId="0" fillId="14" borderId="0" xfId="0" applyNumberFormat="1" applyFill="1" applyAlignment="1">
      <alignment horizontal="right" vertical="center"/>
    </xf>
    <xf numFmtId="0" fontId="10" fillId="5" borderId="14" xfId="0" applyFont="1" applyFill="1" applyBorder="1" applyAlignment="1">
      <alignment horizontal="center" vertical="center"/>
    </xf>
    <xf numFmtId="9" fontId="15" fillId="5" borderId="7" xfId="2" applyFont="1" applyFill="1" applyBorder="1" applyAlignment="1" applyProtection="1">
      <alignment horizontal="center" vertical="center"/>
    </xf>
    <xf numFmtId="9" fontId="15" fillId="5" borderId="1" xfId="2" applyFont="1" applyFill="1" applyBorder="1" applyAlignment="1" applyProtection="1">
      <alignment horizontal="center" vertical="center"/>
    </xf>
    <xf numFmtId="9" fontId="15" fillId="5" borderId="8" xfId="2" applyFont="1" applyFill="1" applyBorder="1" applyAlignment="1" applyProtection="1">
      <alignment horizontal="center" vertical="center"/>
    </xf>
    <xf numFmtId="9" fontId="15" fillId="5" borderId="14" xfId="2" applyFont="1" applyFill="1" applyBorder="1" applyAlignment="1" applyProtection="1">
      <alignment horizontal="center" vertical="center"/>
    </xf>
    <xf numFmtId="0" fontId="6" fillId="12" borderId="14" xfId="0" applyFont="1" applyFill="1" applyBorder="1" applyAlignment="1">
      <alignment horizontal="center" vertical="center"/>
    </xf>
    <xf numFmtId="2" fontId="7" fillId="6" borderId="0" xfId="0" applyNumberFormat="1" applyFont="1" applyFill="1" applyAlignment="1">
      <alignment horizontal="center" vertical="center" wrapText="1"/>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2" fontId="0" fillId="0" borderId="2" xfId="0" applyNumberFormat="1" applyBorder="1" applyAlignment="1">
      <alignment horizontal="right" vertical="center"/>
    </xf>
    <xf numFmtId="0" fontId="0" fillId="14" borderId="3" xfId="0" applyFill="1" applyBorder="1" applyAlignment="1">
      <alignment horizontal="right" vertical="center"/>
    </xf>
    <xf numFmtId="0" fontId="0" fillId="0" borderId="4" xfId="0" applyBorder="1" applyAlignment="1">
      <alignment horizontal="right" vertical="center"/>
    </xf>
    <xf numFmtId="0" fontId="1" fillId="7" borderId="5" xfId="0" applyFont="1" applyFill="1" applyBorder="1" applyAlignment="1">
      <alignment horizontal="right" vertical="center"/>
    </xf>
    <xf numFmtId="165" fontId="1" fillId="7" borderId="0" xfId="2" applyNumberFormat="1" applyFont="1" applyFill="1" applyBorder="1" applyAlignment="1">
      <alignment horizontal="right" vertical="center"/>
    </xf>
    <xf numFmtId="0" fontId="0" fillId="0" borderId="6" xfId="0" applyBorder="1" applyAlignment="1">
      <alignment horizontal="right" vertical="center"/>
    </xf>
    <xf numFmtId="0" fontId="0" fillId="0" borderId="5" xfId="0" applyBorder="1" applyAlignment="1">
      <alignment horizontal="right" vertical="center" wrapText="1"/>
    </xf>
    <xf numFmtId="0" fontId="0" fillId="0" borderId="6" xfId="0" applyBorder="1" applyAlignment="1">
      <alignment horizontal="right" vertical="center" wrapText="1"/>
    </xf>
    <xf numFmtId="2" fontId="0" fillId="0" borderId="7" xfId="0" applyNumberFormat="1" applyBorder="1" applyAlignment="1">
      <alignment horizontal="right" vertical="center"/>
    </xf>
    <xf numFmtId="0" fontId="0" fillId="0" borderId="1" xfId="0" applyBorder="1" applyAlignment="1">
      <alignment horizontal="right" vertical="center"/>
    </xf>
    <xf numFmtId="2" fontId="0" fillId="0" borderId="8" xfId="0" applyNumberFormat="1" applyBorder="1" applyAlignment="1">
      <alignment horizontal="right" vertical="center"/>
    </xf>
    <xf numFmtId="0" fontId="0" fillId="0" borderId="2" xfId="0" applyBorder="1" applyAlignment="1">
      <alignment horizontal="right" vertical="center"/>
    </xf>
    <xf numFmtId="2" fontId="0" fillId="0" borderId="1" xfId="0" applyNumberFormat="1" applyBorder="1" applyAlignment="1">
      <alignment horizontal="right" vertical="center"/>
    </xf>
    <xf numFmtId="0" fontId="9" fillId="11" borderId="0" xfId="0" applyFont="1" applyFill="1" applyAlignment="1">
      <alignment vertical="center"/>
    </xf>
    <xf numFmtId="0" fontId="1" fillId="14" borderId="0" xfId="0" applyFont="1" applyFill="1" applyAlignment="1">
      <alignment horizontal="right" vertical="center"/>
    </xf>
    <xf numFmtId="1" fontId="6" fillId="10" borderId="14" xfId="2" applyNumberFormat="1" applyFont="1" applyFill="1" applyBorder="1" applyAlignment="1" applyProtection="1">
      <alignment horizontal="center" vertical="center"/>
    </xf>
    <xf numFmtId="164" fontId="0" fillId="0" borderId="0" xfId="0" applyNumberFormat="1" applyAlignment="1">
      <alignment horizontal="left" vertical="center"/>
    </xf>
    <xf numFmtId="49" fontId="0" fillId="0" borderId="0" xfId="0" applyNumberFormat="1" applyAlignment="1">
      <alignment horizontal="right" vertical="center"/>
    </xf>
    <xf numFmtId="0" fontId="7" fillId="0" borderId="0" xfId="0" applyFont="1" applyAlignment="1">
      <alignment horizontal="right" vertical="center"/>
    </xf>
    <xf numFmtId="0" fontId="7" fillId="0" borderId="0" xfId="0" applyFont="1" applyAlignment="1">
      <alignment horizontal="left" vertical="center"/>
    </xf>
    <xf numFmtId="0" fontId="0" fillId="14" borderId="0" xfId="0" applyFill="1" applyAlignment="1">
      <alignment horizontal="right" vertical="center"/>
    </xf>
    <xf numFmtId="0" fontId="10" fillId="5" borderId="15" xfId="0" applyFont="1" applyFill="1" applyBorder="1" applyAlignment="1">
      <alignment horizontal="center" vertical="center"/>
    </xf>
    <xf numFmtId="0" fontId="6" fillId="3" borderId="15" xfId="0" applyFont="1" applyFill="1" applyBorder="1" applyAlignment="1" applyProtection="1">
      <alignment horizontal="center" vertical="center"/>
      <protection locked="0"/>
    </xf>
    <xf numFmtId="0" fontId="12" fillId="6" borderId="0" xfId="0" applyFont="1" applyFill="1" applyAlignment="1">
      <alignment horizontal="right"/>
    </xf>
    <xf numFmtId="49" fontId="12" fillId="6" borderId="0" xfId="0" applyNumberFormat="1" applyFont="1" applyFill="1" applyAlignment="1">
      <alignment horizontal="right"/>
    </xf>
    <xf numFmtId="14" fontId="0" fillId="0" borderId="0" xfId="0" applyNumberFormat="1" applyAlignment="1">
      <alignment horizontal="right" vertical="center"/>
    </xf>
    <xf numFmtId="0" fontId="0" fillId="0" borderId="0" xfId="2" applyNumberFormat="1" applyFont="1" applyAlignment="1">
      <alignment horizontal="right" vertical="center"/>
    </xf>
    <xf numFmtId="0" fontId="0" fillId="6" borderId="0" xfId="0" applyFill="1" applyAlignment="1">
      <alignment vertical="top"/>
    </xf>
    <xf numFmtId="0" fontId="0" fillId="6" borderId="0" xfId="0" applyFill="1" applyAlignment="1">
      <alignment horizontal="center" vertical="top"/>
    </xf>
    <xf numFmtId="0" fontId="0" fillId="0" borderId="0" xfId="0" applyAlignment="1">
      <alignment vertical="top"/>
    </xf>
    <xf numFmtId="49" fontId="16" fillId="6" borderId="0" xfId="0" applyNumberFormat="1" applyFont="1" applyFill="1" applyAlignment="1">
      <alignment horizontal="right"/>
    </xf>
    <xf numFmtId="49" fontId="16" fillId="6" borderId="0" xfId="0" applyNumberFormat="1" applyFont="1" applyFill="1" applyAlignment="1">
      <alignment horizontal="left"/>
    </xf>
    <xf numFmtId="49" fontId="16" fillId="6" borderId="0" xfId="0" quotePrefix="1" applyNumberFormat="1" applyFont="1" applyFill="1" applyAlignment="1">
      <alignment horizontal="left"/>
    </xf>
    <xf numFmtId="0" fontId="1" fillId="0" borderId="0" xfId="0" applyFont="1" applyAlignment="1">
      <alignment horizontal="right" vertical="center"/>
    </xf>
    <xf numFmtId="0" fontId="12" fillId="6" borderId="0" xfId="0" applyFont="1" applyFill="1" applyAlignment="1">
      <alignment horizontal="center"/>
    </xf>
    <xf numFmtId="49" fontId="10" fillId="5" borderId="9" xfId="0" quotePrefix="1" applyNumberFormat="1" applyFont="1" applyFill="1" applyBorder="1" applyAlignment="1">
      <alignment horizontal="center"/>
    </xf>
    <xf numFmtId="49" fontId="10" fillId="5" borderId="10" xfId="0" quotePrefix="1" applyNumberFormat="1" applyFont="1" applyFill="1" applyBorder="1" applyAlignment="1">
      <alignment horizontal="center"/>
    </xf>
    <xf numFmtId="49" fontId="10" fillId="5" borderId="11" xfId="0" quotePrefix="1" applyNumberFormat="1" applyFont="1" applyFill="1" applyBorder="1" applyAlignment="1">
      <alignment horizontal="center"/>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9" xfId="0" applyFont="1" applyFill="1" applyBorder="1" applyAlignment="1">
      <alignment horizontal="center" vertical="center"/>
    </xf>
    <xf numFmtId="0" fontId="10" fillId="5" borderId="10" xfId="0" applyFont="1" applyFill="1" applyBorder="1" applyAlignment="1">
      <alignment horizontal="center" vertical="center"/>
    </xf>
    <xf numFmtId="0" fontId="10" fillId="5" borderId="11" xfId="0" applyFont="1" applyFill="1" applyBorder="1" applyAlignment="1">
      <alignment horizontal="center" vertical="center"/>
    </xf>
    <xf numFmtId="0" fontId="12" fillId="6" borderId="0" xfId="0" applyFont="1" applyFill="1" applyAlignment="1">
      <alignment horizontal="justify" vertical="top" wrapText="1"/>
    </xf>
    <xf numFmtId="0" fontId="10" fillId="5" borderId="14" xfId="0" applyFont="1" applyFill="1" applyBorder="1" applyAlignment="1">
      <alignment horizontal="center" vertical="center"/>
    </xf>
    <xf numFmtId="0" fontId="0" fillId="3" borderId="14" xfId="0" applyFill="1" applyBorder="1" applyAlignment="1" applyProtection="1">
      <alignment horizontal="center" wrapText="1"/>
      <protection locked="0"/>
    </xf>
    <xf numFmtId="0" fontId="0" fillId="3" borderId="14" xfId="0" applyFill="1" applyBorder="1" applyAlignment="1" applyProtection="1">
      <alignment horizontal="center"/>
      <protection locked="0"/>
    </xf>
    <xf numFmtId="14" fontId="0" fillId="3" borderId="14" xfId="0" applyNumberFormat="1" applyFill="1" applyBorder="1" applyAlignment="1" applyProtection="1">
      <alignment horizontal="center" wrapText="1"/>
      <protection locked="0"/>
    </xf>
    <xf numFmtId="0" fontId="9" fillId="11" borderId="0" xfId="0" applyFont="1" applyFill="1" applyAlignment="1">
      <alignment horizontal="center" vertical="center"/>
    </xf>
    <xf numFmtId="0" fontId="0" fillId="0" borderId="0" xfId="0" applyAlignment="1">
      <alignment horizontal="center" vertical="center" wrapText="1"/>
    </xf>
    <xf numFmtId="0" fontId="0" fillId="3" borderId="9" xfId="0" applyFill="1" applyBorder="1" applyAlignment="1" applyProtection="1">
      <alignment horizontal="center" wrapText="1"/>
      <protection locked="0"/>
    </xf>
    <xf numFmtId="0" fontId="0" fillId="3" borderId="11" xfId="0" applyFill="1" applyBorder="1" applyAlignment="1" applyProtection="1">
      <alignment horizontal="center" wrapText="1"/>
      <protection locked="0"/>
    </xf>
    <xf numFmtId="165" fontId="16" fillId="6" borderId="0" xfId="2" applyNumberFormat="1" applyFont="1" applyFill="1" applyAlignment="1">
      <alignment horizontal="center" vertical="top" wrapText="1"/>
    </xf>
    <xf numFmtId="0" fontId="16" fillId="6" borderId="0" xfId="0" applyFont="1" applyFill="1" applyAlignment="1">
      <alignment horizontal="center" vertical="top" wrapText="1"/>
    </xf>
  </cellXfs>
  <cellStyles count="3">
    <cellStyle name="Prozent" xfId="2" builtinId="5"/>
    <cellStyle name="Standard" xfId="0" builtinId="0"/>
    <cellStyle name="Standard 2" xfId="1" xr:uid="{0EF0F3C3-2D84-4F56-8A93-8837FD62A844}"/>
  </cellStyles>
  <dxfs count="0"/>
  <tableStyles count="0" defaultTableStyle="TableStyleMedium2" defaultPivotStyle="PivotStyleLight16"/>
  <colors>
    <mruColors>
      <color rgb="FFF2F2F2"/>
      <color rgb="FF006090"/>
      <color rgb="FF953735"/>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Arial" panose="020B0604020202020204" pitchFamily="34" charset="0"/>
                <a:ea typeface="+mn-ea"/>
                <a:cs typeface="Arial" panose="020B0604020202020204" pitchFamily="34" charset="0"/>
              </a:defRPr>
            </a:pPr>
            <a:r>
              <a:rPr lang="de-AT" b="1">
                <a:solidFill>
                  <a:schemeClr val="bg1"/>
                </a:solidFill>
              </a:rPr>
              <a:t>GWP [kg CO</a:t>
            </a:r>
            <a:r>
              <a:rPr lang="de-AT" b="1" baseline="-25000">
                <a:solidFill>
                  <a:schemeClr val="bg1"/>
                </a:solidFill>
              </a:rPr>
              <a:t>2</a:t>
            </a:r>
            <a:r>
              <a:rPr lang="de-AT" b="1">
                <a:solidFill>
                  <a:schemeClr val="bg1"/>
                </a:solidFill>
              </a:rPr>
              <a:t>e/m³] Module A1 - A4 und C1</a:t>
            </a:r>
            <a:r>
              <a:rPr lang="de-AT" b="1" baseline="0">
                <a:solidFill>
                  <a:schemeClr val="bg1"/>
                </a:solidFill>
              </a:rPr>
              <a:t> - C2</a:t>
            </a:r>
            <a:endParaRPr lang="de-AT" b="1">
              <a:solidFill>
                <a:schemeClr val="bg1"/>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bar"/>
        <c:grouping val="stacked"/>
        <c:varyColors val="0"/>
        <c:ser>
          <c:idx val="0"/>
          <c:order val="0"/>
          <c:tx>
            <c:strRef>
              <c:f>Eingabemaske!$B$30</c:f>
              <c:strCache>
                <c:ptCount val="1"/>
                <c:pt idx="0">
                  <c:v>Rucksack
A1</c:v>
                </c:pt>
              </c:strCache>
            </c:strRef>
          </c:tx>
          <c:spPr>
            <a:solidFill>
              <a:schemeClr val="accent2"/>
            </a:solidFill>
            <a:ln>
              <a:solidFill>
                <a:schemeClr val="tx1"/>
              </a:solidFill>
            </a:ln>
            <a:effectLst/>
          </c:spPr>
          <c:invertIfNegative val="0"/>
          <c:val>
            <c:numRef>
              <c:f>Eingabemaske!$B$32</c:f>
              <c:numCache>
                <c:formatCode>0.00</c:formatCode>
                <c:ptCount val="1"/>
                <c:pt idx="0">
                  <c:v>145.71473999999998</c:v>
                </c:pt>
              </c:numCache>
            </c:numRef>
          </c:val>
          <c:extLst>
            <c:ext xmlns:c16="http://schemas.microsoft.com/office/drawing/2014/chart" uri="{C3380CC4-5D6E-409C-BE32-E72D297353CC}">
              <c16:uniqueId val="{00000000-026E-406C-A73E-3734741F770F}"/>
            </c:ext>
          </c:extLst>
        </c:ser>
        <c:ser>
          <c:idx val="1"/>
          <c:order val="1"/>
          <c:tx>
            <c:strRef>
              <c:f>Eingabemaske!$C$30</c:f>
              <c:strCache>
                <c:ptCount val="1"/>
                <c:pt idx="0">
                  <c:v>Transport
A2</c:v>
                </c:pt>
              </c:strCache>
            </c:strRef>
          </c:tx>
          <c:spPr>
            <a:solidFill>
              <a:schemeClr val="accent6"/>
            </a:solidFill>
            <a:ln>
              <a:solidFill>
                <a:schemeClr val="tx1"/>
              </a:solidFill>
            </a:ln>
            <a:effectLst/>
          </c:spPr>
          <c:invertIfNegative val="0"/>
          <c:val>
            <c:numRef>
              <c:f>Eingabemaske!$C$32</c:f>
              <c:numCache>
                <c:formatCode>0.00</c:formatCode>
                <c:ptCount val="1"/>
                <c:pt idx="0">
                  <c:v>8.1388799999999986</c:v>
                </c:pt>
              </c:numCache>
            </c:numRef>
          </c:val>
          <c:extLst>
            <c:ext xmlns:c16="http://schemas.microsoft.com/office/drawing/2014/chart" uri="{C3380CC4-5D6E-409C-BE32-E72D297353CC}">
              <c16:uniqueId val="{00000002-026E-406C-A73E-3734741F770F}"/>
            </c:ext>
          </c:extLst>
        </c:ser>
        <c:ser>
          <c:idx val="2"/>
          <c:order val="2"/>
          <c:tx>
            <c:strRef>
              <c:f>Eingabemaske!$D$30</c:f>
              <c:strCache>
                <c:ptCount val="1"/>
                <c:pt idx="0">
                  <c:v>Herstellung
A3</c:v>
                </c:pt>
              </c:strCache>
            </c:strRef>
          </c:tx>
          <c:spPr>
            <a:solidFill>
              <a:schemeClr val="accent1"/>
            </a:solidFill>
            <a:ln>
              <a:solidFill>
                <a:schemeClr val="tx1"/>
              </a:solidFill>
            </a:ln>
            <a:effectLst/>
          </c:spPr>
          <c:invertIfNegative val="0"/>
          <c:val>
            <c:numRef>
              <c:f>Eingabemaske!$D$32</c:f>
              <c:numCache>
                <c:formatCode>0.00</c:formatCode>
                <c:ptCount val="1"/>
                <c:pt idx="0">
                  <c:v>0.34499999999999997</c:v>
                </c:pt>
              </c:numCache>
            </c:numRef>
          </c:val>
          <c:extLst>
            <c:ext xmlns:c16="http://schemas.microsoft.com/office/drawing/2014/chart" uri="{C3380CC4-5D6E-409C-BE32-E72D297353CC}">
              <c16:uniqueId val="{00000003-026E-406C-A73E-3734741F770F}"/>
            </c:ext>
          </c:extLst>
        </c:ser>
        <c:ser>
          <c:idx val="3"/>
          <c:order val="3"/>
          <c:tx>
            <c:strRef>
              <c:f>Eingabemaske!$F$30</c:f>
              <c:strCache>
                <c:ptCount val="1"/>
                <c:pt idx="0">
                  <c:v>Transp. Bst.
A4</c:v>
                </c:pt>
              </c:strCache>
            </c:strRef>
          </c:tx>
          <c:spPr>
            <a:solidFill>
              <a:schemeClr val="accent4"/>
            </a:solidFill>
            <a:ln>
              <a:solidFill>
                <a:sysClr val="windowText" lastClr="000000"/>
              </a:solidFill>
            </a:ln>
            <a:effectLst/>
          </c:spPr>
          <c:invertIfNegative val="0"/>
          <c:val>
            <c:numRef>
              <c:f>Eingabemaske!$F$32</c:f>
              <c:numCache>
                <c:formatCode>0.00</c:formatCode>
                <c:ptCount val="1"/>
                <c:pt idx="0">
                  <c:v>4.5511787999999997</c:v>
                </c:pt>
              </c:numCache>
            </c:numRef>
          </c:val>
          <c:extLst>
            <c:ext xmlns:c16="http://schemas.microsoft.com/office/drawing/2014/chart" uri="{C3380CC4-5D6E-409C-BE32-E72D297353CC}">
              <c16:uniqueId val="{00000004-026E-406C-A73E-3734741F770F}"/>
            </c:ext>
          </c:extLst>
        </c:ser>
        <c:ser>
          <c:idx val="4"/>
          <c:order val="4"/>
          <c:tx>
            <c:strRef>
              <c:f>Eingabemaske!$G$30</c:f>
              <c:strCache>
                <c:ptCount val="1"/>
                <c:pt idx="0">
                  <c:v>Ausbau &amp; Transp. C1-C2</c:v>
                </c:pt>
              </c:strCache>
            </c:strRef>
          </c:tx>
          <c:spPr>
            <a:solidFill>
              <a:schemeClr val="accent6">
                <a:lumMod val="75000"/>
              </a:schemeClr>
            </a:solidFill>
            <a:ln>
              <a:solidFill>
                <a:sysClr val="windowText" lastClr="000000"/>
              </a:solidFill>
            </a:ln>
            <a:effectLst/>
          </c:spPr>
          <c:invertIfNegative val="0"/>
          <c:val>
            <c:numRef>
              <c:f>Eingabemaske!$G$32</c:f>
              <c:numCache>
                <c:formatCode>0.00</c:formatCode>
                <c:ptCount val="1"/>
                <c:pt idx="0">
                  <c:v>6.8245121333333332</c:v>
                </c:pt>
              </c:numCache>
            </c:numRef>
          </c:val>
          <c:extLst>
            <c:ext xmlns:c16="http://schemas.microsoft.com/office/drawing/2014/chart" uri="{C3380CC4-5D6E-409C-BE32-E72D297353CC}">
              <c16:uniqueId val="{00000001-B964-448D-8EED-DA28EB573BEB}"/>
            </c:ext>
          </c:extLst>
        </c:ser>
        <c:dLbls>
          <c:showLegendKey val="0"/>
          <c:showVal val="0"/>
          <c:showCatName val="0"/>
          <c:showSerName val="0"/>
          <c:showPercent val="0"/>
          <c:showBubbleSize val="0"/>
        </c:dLbls>
        <c:gapWidth val="150"/>
        <c:overlap val="100"/>
        <c:axId val="926731968"/>
        <c:axId val="926718656"/>
      </c:barChart>
      <c:catAx>
        <c:axId val="926731968"/>
        <c:scaling>
          <c:orientation val="minMax"/>
        </c:scaling>
        <c:delete val="1"/>
        <c:axPos val="l"/>
        <c:numFmt formatCode="General" sourceLinked="1"/>
        <c:majorTickMark val="none"/>
        <c:minorTickMark val="none"/>
        <c:tickLblPos val="nextTo"/>
        <c:crossAx val="926718656"/>
        <c:crosses val="autoZero"/>
        <c:auto val="1"/>
        <c:lblAlgn val="ctr"/>
        <c:lblOffset val="100"/>
        <c:noMultiLvlLbl val="0"/>
      </c:catAx>
      <c:valAx>
        <c:axId val="926718656"/>
        <c:scaling>
          <c:orientation val="minMax"/>
          <c:max val="300"/>
          <c:min val="0"/>
        </c:scaling>
        <c:delete val="0"/>
        <c:axPos val="b"/>
        <c:majorGridlines>
          <c:spPr>
            <a:ln w="9525" cap="flat" cmpd="sng" algn="ctr">
              <a:solidFill>
                <a:schemeClr val="tx1"/>
              </a:solidFill>
              <a:round/>
            </a:ln>
            <a:effectLst/>
          </c:spPr>
        </c:majorGridlines>
        <c:minorGridlines>
          <c:spPr>
            <a:ln w="9525" cap="flat" cmpd="sng" algn="ctr">
              <a:solidFill>
                <a:schemeClr val="tx1">
                  <a:lumMod val="65000"/>
                  <a:lumOff val="35000"/>
                </a:schemeClr>
              </a:solidFill>
              <a:round/>
            </a:ln>
            <a:effectLst/>
          </c:spPr>
        </c:min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926731968"/>
        <c:crosses val="autoZero"/>
        <c:crossBetween val="between"/>
        <c:majorUnit val="20"/>
        <c:minorUnit val="10"/>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tx1">
        <a:lumMod val="50000"/>
        <a:lumOff val="50000"/>
      </a:schemeClr>
    </a:solidFill>
    <a:ln w="952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Arial" panose="020B0604020202020204" pitchFamily="34" charset="0"/>
                <a:ea typeface="+mn-ea"/>
                <a:cs typeface="Arial" panose="020B0604020202020204" pitchFamily="34" charset="0"/>
              </a:defRPr>
            </a:pPr>
            <a:r>
              <a:rPr lang="en-US" b="1">
                <a:solidFill>
                  <a:schemeClr val="bg1"/>
                </a:solidFill>
              </a:rPr>
              <a:t>GWP [kg CO</a:t>
            </a:r>
            <a:r>
              <a:rPr lang="en-US" b="1" baseline="-25000">
                <a:solidFill>
                  <a:schemeClr val="bg1"/>
                </a:solidFill>
              </a:rPr>
              <a:t>2</a:t>
            </a:r>
            <a:r>
              <a:rPr lang="en-US" b="1">
                <a:solidFill>
                  <a:schemeClr val="bg1"/>
                </a:solidFill>
              </a:rPr>
              <a:t>e/m³] Module A1 - A4 und C1 - C2</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Arial" panose="020B0604020202020204" pitchFamily="34" charset="0"/>
              <a:ea typeface="+mn-ea"/>
              <a:cs typeface="Arial" panose="020B0604020202020204" pitchFamily="34" charset="0"/>
            </a:defRPr>
          </a:pPr>
          <a:endParaRPr lang="de-DE"/>
        </a:p>
      </c:txPr>
    </c:title>
    <c:autoTitleDeleted val="0"/>
    <c:plotArea>
      <c:layout/>
      <c:ofPieChart>
        <c:ofPieType val="bar"/>
        <c:varyColors val="1"/>
        <c:ser>
          <c:idx val="0"/>
          <c:order val="0"/>
          <c:tx>
            <c:strRef>
              <c:f>Eingabemaske!$A$29</c:f>
              <c:strCache>
                <c:ptCount val="1"/>
              </c:strCache>
            </c:strRef>
          </c:tx>
          <c:dPt>
            <c:idx val="0"/>
            <c:bubble3D val="0"/>
            <c:spPr>
              <a:solidFill>
                <a:schemeClr val="accent2"/>
              </a:solidFill>
              <a:ln>
                <a:solidFill>
                  <a:schemeClr val="tx1"/>
                </a:solidFill>
              </a:ln>
              <a:effectLst/>
            </c:spPr>
            <c:extLst>
              <c:ext xmlns:c16="http://schemas.microsoft.com/office/drawing/2014/chart" uri="{C3380CC4-5D6E-409C-BE32-E72D297353CC}">
                <c16:uniqueId val="{00000001-DB56-4507-9E69-A15FF2E2BFCD}"/>
              </c:ext>
            </c:extLst>
          </c:dPt>
          <c:dPt>
            <c:idx val="1"/>
            <c:bubble3D val="0"/>
            <c:spPr>
              <a:solidFill>
                <a:schemeClr val="accent6"/>
              </a:solidFill>
              <a:ln>
                <a:solidFill>
                  <a:schemeClr val="tx1"/>
                </a:solidFill>
              </a:ln>
              <a:effectLst/>
            </c:spPr>
            <c:extLst>
              <c:ext xmlns:c16="http://schemas.microsoft.com/office/drawing/2014/chart" uri="{C3380CC4-5D6E-409C-BE32-E72D297353CC}">
                <c16:uniqueId val="{00000003-DB56-4507-9E69-A15FF2E2BFCD}"/>
              </c:ext>
            </c:extLst>
          </c:dPt>
          <c:dPt>
            <c:idx val="2"/>
            <c:bubble3D val="0"/>
            <c:spPr>
              <a:solidFill>
                <a:schemeClr val="accent1"/>
              </a:solidFill>
              <a:ln>
                <a:solidFill>
                  <a:schemeClr val="tx1"/>
                </a:solidFill>
              </a:ln>
              <a:effectLst/>
            </c:spPr>
            <c:extLst>
              <c:ext xmlns:c16="http://schemas.microsoft.com/office/drawing/2014/chart" uri="{C3380CC4-5D6E-409C-BE32-E72D297353CC}">
                <c16:uniqueId val="{00000005-DB56-4507-9E69-A15FF2E2BFCD}"/>
              </c:ext>
            </c:extLst>
          </c:dPt>
          <c:dPt>
            <c:idx val="3"/>
            <c:bubble3D val="0"/>
            <c:spPr>
              <a:solidFill>
                <a:schemeClr val="accent4"/>
              </a:solidFill>
              <a:ln>
                <a:solidFill>
                  <a:schemeClr val="tx1"/>
                </a:solidFill>
              </a:ln>
              <a:effectLst/>
            </c:spPr>
            <c:extLst>
              <c:ext xmlns:c16="http://schemas.microsoft.com/office/drawing/2014/chart" uri="{C3380CC4-5D6E-409C-BE32-E72D297353CC}">
                <c16:uniqueId val="{00000007-DB56-4507-9E69-A15FF2E2BFCD}"/>
              </c:ext>
            </c:extLst>
          </c:dPt>
          <c:dPt>
            <c:idx val="4"/>
            <c:bubble3D val="0"/>
            <c:spPr>
              <a:solidFill>
                <a:schemeClr val="accent6">
                  <a:lumMod val="75000"/>
                </a:schemeClr>
              </a:solidFill>
              <a:ln>
                <a:solidFill>
                  <a:schemeClr val="tx1"/>
                </a:solidFill>
              </a:ln>
              <a:effectLst/>
            </c:spPr>
            <c:extLst>
              <c:ext xmlns:c16="http://schemas.microsoft.com/office/drawing/2014/chart" uri="{C3380CC4-5D6E-409C-BE32-E72D297353CC}">
                <c16:uniqueId val="{00000009-DB56-4507-9E69-A15FF2E2BFCD}"/>
              </c:ext>
            </c:extLst>
          </c:dPt>
          <c:dPt>
            <c:idx val="5"/>
            <c:bubble3D val="0"/>
            <c:spPr>
              <a:solidFill>
                <a:schemeClr val="accent1"/>
              </a:solidFill>
              <a:ln>
                <a:solidFill>
                  <a:schemeClr val="tx1"/>
                </a:solidFill>
              </a:ln>
              <a:effectLst/>
            </c:spPr>
            <c:extLst>
              <c:ext xmlns:c16="http://schemas.microsoft.com/office/drawing/2014/chart" uri="{C3380CC4-5D6E-409C-BE32-E72D297353CC}">
                <c16:uniqueId val="{0000000B-DB56-4507-9E69-A15FF2E2BFCD}"/>
              </c:ext>
            </c:extLst>
          </c:dPt>
          <c:dPt>
            <c:idx val="6"/>
            <c:bubble3D val="0"/>
            <c:spPr>
              <a:solidFill>
                <a:schemeClr val="accent1">
                  <a:lumMod val="60000"/>
                </a:schemeClr>
              </a:solidFill>
              <a:ln>
                <a:solidFill>
                  <a:schemeClr val="tx1"/>
                </a:solidFill>
              </a:ln>
              <a:effectLst/>
            </c:spPr>
            <c:extLst>
              <c:ext xmlns:c16="http://schemas.microsoft.com/office/drawing/2014/chart" uri="{C3380CC4-5D6E-409C-BE32-E72D297353CC}">
                <c16:uniqueId val="{0000000D-DB56-4507-9E69-A15FF2E2BFCD}"/>
              </c:ext>
            </c:extLst>
          </c:dPt>
          <c:dPt>
            <c:idx val="7"/>
            <c:bubble3D val="0"/>
            <c:spPr>
              <a:solidFill>
                <a:schemeClr val="accent1">
                  <a:lumMod val="40000"/>
                  <a:lumOff val="60000"/>
                </a:schemeClr>
              </a:solidFill>
              <a:ln>
                <a:solidFill>
                  <a:schemeClr val="tx1"/>
                </a:solidFill>
              </a:ln>
              <a:effectLst/>
            </c:spPr>
            <c:extLst>
              <c:ext xmlns:c16="http://schemas.microsoft.com/office/drawing/2014/chart" uri="{C3380CC4-5D6E-409C-BE32-E72D297353CC}">
                <c16:uniqueId val="{0000000F-DB56-4507-9E69-A15FF2E2BFCD}"/>
              </c:ext>
            </c:extLst>
          </c:dPt>
          <c:dLbls>
            <c:dLbl>
              <c:idx val="0"/>
              <c:dLblPos val="ct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56-4507-9E69-A15FF2E2BFCD}"/>
                </c:ext>
              </c:extLst>
            </c:dLbl>
            <c:dLbl>
              <c:idx val="1"/>
              <c:dLblPos val="ct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56-4507-9E69-A15FF2E2BFCD}"/>
                </c:ext>
              </c:extLst>
            </c:dLbl>
            <c:dLbl>
              <c:idx val="2"/>
              <c:layout>
                <c:manualLayout>
                  <c:x val="-0.28509540516218235"/>
                  <c:y val="0"/>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56-4507-9E69-A15FF2E2BFCD}"/>
                </c:ext>
              </c:extLst>
            </c:dLbl>
            <c:dLbl>
              <c:idx val="3"/>
              <c:dLblPos val="ct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B56-4507-9E69-A15FF2E2BFCD}"/>
                </c:ext>
              </c:extLst>
            </c:dLbl>
            <c:dLbl>
              <c:idx val="4"/>
              <c:dLblPos val="ct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B56-4507-9E69-A15FF2E2BFCD}"/>
                </c:ext>
              </c:extLst>
            </c:dLbl>
            <c:dLbl>
              <c:idx val="5"/>
              <c:dLblPos val="ct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B56-4507-9E69-A15FF2E2BFC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LblPos val="ct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Eingabemaske!$B$28:$F$28</c:f>
              <c:strCache>
                <c:ptCount val="5"/>
                <c:pt idx="0">
                  <c:v>Rucksack
A1</c:v>
                </c:pt>
                <c:pt idx="1">
                  <c:v>Transport
A2</c:v>
                </c:pt>
                <c:pt idx="2">
                  <c:v>Herstellung
A3</c:v>
                </c:pt>
                <c:pt idx="3">
                  <c:v>Transp. Bst.
A4</c:v>
                </c:pt>
                <c:pt idx="4">
                  <c:v>Ausbau &amp; Transp. C1-C2</c:v>
                </c:pt>
              </c:strCache>
            </c:strRef>
          </c:cat>
          <c:val>
            <c:numRef>
              <c:f>Eingabemaske!$B$29:$F$29</c:f>
              <c:numCache>
                <c:formatCode>0.00</c:formatCode>
                <c:ptCount val="5"/>
                <c:pt idx="0">
                  <c:v>145.71473999999998</c:v>
                </c:pt>
                <c:pt idx="1">
                  <c:v>8.1388799999999986</c:v>
                </c:pt>
                <c:pt idx="2">
                  <c:v>0.34499999999999997</c:v>
                </c:pt>
                <c:pt idx="3">
                  <c:v>4.5511787999999997</c:v>
                </c:pt>
                <c:pt idx="4">
                  <c:v>6.8245121333333332</c:v>
                </c:pt>
              </c:numCache>
            </c:numRef>
          </c:val>
          <c:extLst>
            <c:ext xmlns:c16="http://schemas.microsoft.com/office/drawing/2014/chart" uri="{C3380CC4-5D6E-409C-BE32-E72D297353CC}">
              <c16:uniqueId val="{00000010-DB56-4507-9E69-A15FF2E2BFCD}"/>
            </c:ext>
          </c:extLst>
        </c:ser>
        <c:dLbls>
          <c:showLegendKey val="0"/>
          <c:showVal val="0"/>
          <c:showCatName val="0"/>
          <c:showSerName val="0"/>
          <c:showPercent val="0"/>
          <c:showBubbleSize val="0"/>
          <c:showLeaderLines val="1"/>
        </c:dLbls>
        <c:gapWidth val="200"/>
        <c:splitType val="cust"/>
        <c:custSplit>
          <c:secondPiePt val="1"/>
          <c:secondPiePt val="2"/>
          <c:secondPiePt val="3"/>
          <c:secondPiePt val="4"/>
        </c:custSplit>
        <c:secondPieSize val="100"/>
        <c:serLines>
          <c:spPr>
            <a:ln w="9525" cap="flat" cmpd="sng" algn="ctr">
              <a:solidFill>
                <a:schemeClr val="tx1"/>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tx1">
        <a:lumMod val="50000"/>
        <a:lumOff val="50000"/>
      </a:schemeClr>
    </a:solidFill>
    <a:ln w="9525" cap="flat" cmpd="sng" algn="ctr">
      <a:solidFill>
        <a:schemeClr val="tx1"/>
      </a:solidFill>
      <a:round/>
    </a:ln>
    <a:effectLst/>
  </c:spPr>
  <c:txPr>
    <a:bodyPr/>
    <a:lstStyle/>
    <a:p>
      <a:pPr>
        <a:defRPr b="0">
          <a:solidFill>
            <a:sysClr val="windowText" lastClr="000000"/>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Arial" panose="020B0604020202020204" pitchFamily="34" charset="0"/>
                <a:ea typeface="+mn-ea"/>
                <a:cs typeface="Arial" panose="020B0604020202020204" pitchFamily="34" charset="0"/>
              </a:defRPr>
            </a:pPr>
            <a:r>
              <a:rPr lang="en-US" sz="1400" b="1" i="0" u="none" strike="noStrike" baseline="0">
                <a:solidFill>
                  <a:schemeClr val="bg1"/>
                </a:solidFill>
                <a:effectLst/>
              </a:rPr>
              <a:t>GWP [kg CO</a:t>
            </a:r>
            <a:r>
              <a:rPr lang="en-US" sz="1400" b="1" i="0" u="none" strike="noStrike" baseline="-25000">
                <a:solidFill>
                  <a:schemeClr val="bg1"/>
                </a:solidFill>
                <a:effectLst/>
              </a:rPr>
              <a:t>2</a:t>
            </a:r>
            <a:r>
              <a:rPr lang="en-US" sz="1400" b="1" i="0" u="none" strike="noStrike" baseline="0">
                <a:solidFill>
                  <a:schemeClr val="bg1"/>
                </a:solidFill>
                <a:effectLst/>
              </a:rPr>
              <a:t>e/m³] Modul </a:t>
            </a:r>
            <a:r>
              <a:rPr lang="en-US" b="1">
                <a:solidFill>
                  <a:schemeClr val="bg1"/>
                </a:solidFill>
              </a:rPr>
              <a:t>A1</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Arial" panose="020B0604020202020204" pitchFamily="34" charset="0"/>
              <a:ea typeface="+mn-ea"/>
              <a:cs typeface="Arial" panose="020B0604020202020204" pitchFamily="34" charset="0"/>
            </a:defRPr>
          </a:pPr>
          <a:endParaRPr lang="de-DE"/>
        </a:p>
      </c:txPr>
    </c:title>
    <c:autoTitleDeleted val="0"/>
    <c:plotArea>
      <c:layout/>
      <c:ofPieChart>
        <c:ofPieType val="bar"/>
        <c:varyColors val="1"/>
        <c:ser>
          <c:idx val="0"/>
          <c:order val="0"/>
          <c:tx>
            <c:strRef>
              <c:f>Eingabemaske!$A$22</c:f>
              <c:strCache>
                <c:ptCount val="1"/>
              </c:strCache>
            </c:strRef>
          </c:tx>
          <c:spPr>
            <a:ln>
              <a:solidFill>
                <a:schemeClr val="tx1"/>
              </a:solidFill>
            </a:ln>
          </c:spPr>
          <c:dPt>
            <c:idx val="0"/>
            <c:bubble3D val="0"/>
            <c:spPr>
              <a:solidFill>
                <a:schemeClr val="accent6"/>
              </a:solidFill>
              <a:ln>
                <a:solidFill>
                  <a:schemeClr val="tx1"/>
                </a:solidFill>
              </a:ln>
              <a:effectLst/>
            </c:spPr>
            <c:extLst>
              <c:ext xmlns:c16="http://schemas.microsoft.com/office/drawing/2014/chart" uri="{C3380CC4-5D6E-409C-BE32-E72D297353CC}">
                <c16:uniqueId val="{00000001-9265-42EE-8083-93747FAC746A}"/>
              </c:ext>
            </c:extLst>
          </c:dPt>
          <c:dPt>
            <c:idx val="1"/>
            <c:bubble3D val="0"/>
            <c:spPr>
              <a:solidFill>
                <a:schemeClr val="accent1"/>
              </a:solidFill>
              <a:ln>
                <a:solidFill>
                  <a:schemeClr val="tx1"/>
                </a:solidFill>
              </a:ln>
              <a:effectLst/>
            </c:spPr>
            <c:extLst>
              <c:ext xmlns:c16="http://schemas.microsoft.com/office/drawing/2014/chart" uri="{C3380CC4-5D6E-409C-BE32-E72D297353CC}">
                <c16:uniqueId val="{00000003-9265-42EE-8083-93747FAC746A}"/>
              </c:ext>
            </c:extLst>
          </c:dPt>
          <c:dPt>
            <c:idx val="2"/>
            <c:bubble3D val="0"/>
            <c:spPr>
              <a:solidFill>
                <a:schemeClr val="accent2"/>
              </a:solidFill>
              <a:ln>
                <a:solidFill>
                  <a:schemeClr val="tx1"/>
                </a:solidFill>
              </a:ln>
              <a:effectLst/>
            </c:spPr>
            <c:extLst>
              <c:ext xmlns:c16="http://schemas.microsoft.com/office/drawing/2014/chart" uri="{C3380CC4-5D6E-409C-BE32-E72D297353CC}">
                <c16:uniqueId val="{00000005-9265-42EE-8083-93747FAC746A}"/>
              </c:ext>
            </c:extLst>
          </c:dPt>
          <c:dPt>
            <c:idx val="3"/>
            <c:bubble3D val="0"/>
            <c:spPr>
              <a:solidFill>
                <a:schemeClr val="accent4"/>
              </a:solidFill>
              <a:ln>
                <a:solidFill>
                  <a:schemeClr val="tx1"/>
                </a:solidFill>
              </a:ln>
              <a:effectLst/>
            </c:spPr>
            <c:extLst>
              <c:ext xmlns:c16="http://schemas.microsoft.com/office/drawing/2014/chart" uri="{C3380CC4-5D6E-409C-BE32-E72D297353CC}">
                <c16:uniqueId val="{00000007-9265-42EE-8083-93747FAC746A}"/>
              </c:ext>
            </c:extLst>
          </c:dPt>
          <c:dPt>
            <c:idx val="4"/>
            <c:bubble3D val="0"/>
            <c:spPr>
              <a:solidFill>
                <a:schemeClr val="accent5"/>
              </a:solidFill>
              <a:ln>
                <a:solidFill>
                  <a:schemeClr val="tx1"/>
                </a:solidFill>
              </a:ln>
              <a:effectLst/>
            </c:spPr>
            <c:extLst>
              <c:ext xmlns:c16="http://schemas.microsoft.com/office/drawing/2014/chart" uri="{C3380CC4-5D6E-409C-BE32-E72D297353CC}">
                <c16:uniqueId val="{00000009-9265-42EE-8083-93747FAC746A}"/>
              </c:ext>
            </c:extLst>
          </c:dPt>
          <c:dPt>
            <c:idx val="5"/>
            <c:bubble3D val="0"/>
            <c:spPr>
              <a:solidFill>
                <a:schemeClr val="accent6"/>
              </a:solidFill>
              <a:ln>
                <a:solidFill>
                  <a:schemeClr val="tx1"/>
                </a:solidFill>
              </a:ln>
              <a:effectLst/>
            </c:spPr>
            <c:extLst>
              <c:ext xmlns:c16="http://schemas.microsoft.com/office/drawing/2014/chart" uri="{C3380CC4-5D6E-409C-BE32-E72D297353CC}">
                <c16:uniqueId val="{0000000B-9265-42EE-8083-93747FAC746A}"/>
              </c:ext>
            </c:extLst>
          </c:dPt>
          <c:dPt>
            <c:idx val="6"/>
            <c:bubble3D val="0"/>
            <c:spPr>
              <a:solidFill>
                <a:schemeClr val="accent1">
                  <a:lumMod val="60000"/>
                </a:schemeClr>
              </a:solidFill>
              <a:ln>
                <a:solidFill>
                  <a:schemeClr val="tx1"/>
                </a:solidFill>
              </a:ln>
              <a:effectLst/>
            </c:spPr>
            <c:extLst>
              <c:ext xmlns:c16="http://schemas.microsoft.com/office/drawing/2014/chart" uri="{C3380CC4-5D6E-409C-BE32-E72D297353CC}">
                <c16:uniqueId val="{0000000D-9265-42EE-8083-93747FAC746A}"/>
              </c:ext>
            </c:extLst>
          </c:dPt>
          <c:dPt>
            <c:idx val="7"/>
            <c:bubble3D val="0"/>
            <c:spPr>
              <a:solidFill>
                <a:schemeClr val="accent2"/>
              </a:solidFill>
              <a:ln>
                <a:solidFill>
                  <a:schemeClr val="tx1"/>
                </a:solidFill>
              </a:ln>
              <a:effectLst/>
            </c:spPr>
            <c:extLst>
              <c:ext xmlns:c16="http://schemas.microsoft.com/office/drawing/2014/chart" uri="{C3380CC4-5D6E-409C-BE32-E72D297353CC}">
                <c16:uniqueId val="{0000000F-9265-42EE-8083-93747FAC746A}"/>
              </c:ext>
            </c:extLst>
          </c:dPt>
          <c:dPt>
            <c:idx val="8"/>
            <c:bubble3D val="0"/>
            <c:spPr>
              <a:solidFill>
                <a:schemeClr val="accent3">
                  <a:lumMod val="60000"/>
                </a:schemeClr>
              </a:solidFill>
              <a:ln>
                <a:solidFill>
                  <a:schemeClr val="tx1"/>
                </a:solidFill>
              </a:ln>
              <a:effectLst/>
            </c:spPr>
            <c:extLst>
              <c:ext xmlns:c16="http://schemas.microsoft.com/office/drawing/2014/chart" uri="{C3380CC4-5D6E-409C-BE32-E72D297353CC}">
                <c16:uniqueId val="{00000011-9265-42EE-8083-93747FAC746A}"/>
              </c:ext>
            </c:extLst>
          </c:dPt>
          <c:dLbls>
            <c:dLbl>
              <c:idx val="5"/>
              <c:layout>
                <c:manualLayout>
                  <c:x val="-0.28629171353580812"/>
                  <c:y val="-4.0386044475131479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265-42EE-8083-93747FAC746A}"/>
                </c:ext>
              </c:extLst>
            </c:dLbl>
            <c:dLbl>
              <c:idx val="6"/>
              <c:layout>
                <c:manualLayout>
                  <c:x val="-0.28568466441694779"/>
                  <c:y val="2.271715001726136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265-42EE-8083-93747FAC746A}"/>
                </c:ext>
              </c:extLst>
            </c:dLbl>
            <c:dLbl>
              <c:idx val="7"/>
              <c:layout>
                <c:manualLayout>
                  <c:x val="-0.15035208098987626"/>
                  <c:y val="-9.2550282773412084E-1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265-42EE-8083-93747FAC746A}"/>
                </c:ext>
              </c:extLst>
            </c:dLbl>
            <c:dLbl>
              <c:idx val="8"/>
              <c:layout>
                <c:manualLayout>
                  <c:x val="-0.13444985088159023"/>
                  <c:y val="0"/>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265-42EE-8083-93747FAC746A}"/>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LblPos val="ct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Eingabemaske!$B$24:$I$24</c:f>
              <c:strCache>
                <c:ptCount val="8"/>
                <c:pt idx="0">
                  <c:v>Zement</c:v>
                </c:pt>
                <c:pt idx="1">
                  <c:v>feine GK</c:v>
                </c:pt>
                <c:pt idx="2">
                  <c:v>grobe GK</c:v>
                </c:pt>
                <c:pt idx="3">
                  <c:v>feiner RB</c:v>
                </c:pt>
                <c:pt idx="4">
                  <c:v>grober RB</c:v>
                </c:pt>
                <c:pt idx="5">
                  <c:v>Wasser</c:v>
                </c:pt>
                <c:pt idx="6">
                  <c:v>LP</c:v>
                </c:pt>
                <c:pt idx="7">
                  <c:v>FM</c:v>
                </c:pt>
              </c:strCache>
            </c:strRef>
          </c:cat>
          <c:val>
            <c:numRef>
              <c:f>Eingabemaske!$B$26:$I$26</c:f>
              <c:numCache>
                <c:formatCode>0.00</c:formatCode>
                <c:ptCount val="8"/>
                <c:pt idx="0">
                  <c:v>141.63919000000001</c:v>
                </c:pt>
                <c:pt idx="1">
                  <c:v>1.1495</c:v>
                </c:pt>
                <c:pt idx="2">
                  <c:v>0.96</c:v>
                </c:pt>
                <c:pt idx="3">
                  <c:v>0.18755000000000002</c:v>
                </c:pt>
                <c:pt idx="4">
                  <c:v>1.3640000000000001</c:v>
                </c:pt>
                <c:pt idx="5">
                  <c:v>1.7100000000000001E-2</c:v>
                </c:pt>
                <c:pt idx="6">
                  <c:v>0.26339999999999997</c:v>
                </c:pt>
                <c:pt idx="7">
                  <c:v>0.13400000000000001</c:v>
                </c:pt>
              </c:numCache>
            </c:numRef>
          </c:val>
          <c:extLst>
            <c:ext xmlns:c16="http://schemas.microsoft.com/office/drawing/2014/chart" uri="{C3380CC4-5D6E-409C-BE32-E72D297353CC}">
              <c16:uniqueId val="{00000012-9265-42EE-8083-93747FAC746A}"/>
            </c:ext>
          </c:extLst>
        </c:ser>
        <c:dLbls>
          <c:showLegendKey val="0"/>
          <c:showVal val="0"/>
          <c:showCatName val="0"/>
          <c:showSerName val="0"/>
          <c:showPercent val="0"/>
          <c:showBubbleSize val="0"/>
          <c:showLeaderLines val="1"/>
        </c:dLbls>
        <c:gapWidth val="200"/>
        <c:splitType val="pos"/>
        <c:splitPos val="7"/>
        <c:secondPieSize val="100"/>
        <c:serLines>
          <c:spPr>
            <a:ln w="9525" cap="flat" cmpd="sng" algn="ctr">
              <a:solidFill>
                <a:schemeClr val="tx1"/>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tx1">
        <a:lumMod val="50000"/>
        <a:lumOff val="50000"/>
      </a:schemeClr>
    </a:solidFill>
    <a:ln w="9525" cap="flat" cmpd="sng" algn="ctr">
      <a:solidFill>
        <a:schemeClr val="tx1"/>
      </a:solidFill>
      <a:round/>
    </a:ln>
    <a:effectLst/>
  </c:spPr>
  <c:txPr>
    <a:bodyPr/>
    <a:lstStyle/>
    <a:p>
      <a:pPr>
        <a:defRPr b="0">
          <a:solidFill>
            <a:sysClr val="windowText" lastClr="000000"/>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37</xdr:row>
      <xdr:rowOff>139211</xdr:rowOff>
    </xdr:from>
    <xdr:to>
      <xdr:col>9</xdr:col>
      <xdr:colOff>1464</xdr:colOff>
      <xdr:row>46</xdr:row>
      <xdr:rowOff>128480</xdr:rowOff>
    </xdr:to>
    <xdr:graphicFrame macro="">
      <xdr:nvGraphicFramePr>
        <xdr:cNvPr id="16" name="Diagramm 15">
          <a:extLst>
            <a:ext uri="{FF2B5EF4-FFF2-40B4-BE49-F238E27FC236}">
              <a16:creationId xmlns:a16="http://schemas.microsoft.com/office/drawing/2014/main" id="{00000000-0008-0000-00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29</xdr:row>
      <xdr:rowOff>0</xdr:rowOff>
    </xdr:from>
    <xdr:to>
      <xdr:col>18</xdr:col>
      <xdr:colOff>0</xdr:colOff>
      <xdr:row>50</xdr:row>
      <xdr:rowOff>159389</xdr:rowOff>
    </xdr:to>
    <xdr:graphicFrame macro="">
      <xdr:nvGraphicFramePr>
        <xdr:cNvPr id="20" name="Diagramm 19">
          <a:extLst>
            <a:ext uri="{FF2B5EF4-FFF2-40B4-BE49-F238E27FC236}">
              <a16:creationId xmlns:a16="http://schemas.microsoft.com/office/drawing/2014/main" id="{E85C30B2-A9C8-4B04-AF41-54A84D1F78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5</xdr:row>
      <xdr:rowOff>0</xdr:rowOff>
    </xdr:from>
    <xdr:to>
      <xdr:col>18</xdr:col>
      <xdr:colOff>0</xdr:colOff>
      <xdr:row>27</xdr:row>
      <xdr:rowOff>15952</xdr:rowOff>
    </xdr:to>
    <xdr:graphicFrame macro="">
      <xdr:nvGraphicFramePr>
        <xdr:cNvPr id="3" name="Diagramm 2">
          <a:extLst>
            <a:ext uri="{FF2B5EF4-FFF2-40B4-BE49-F238E27FC236}">
              <a16:creationId xmlns:a16="http://schemas.microsoft.com/office/drawing/2014/main" id="{AD1EFE2F-DF26-47F0-AF0B-CDE8BBAEFA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6A3F7-8AE9-47D8-BD6E-5F93F404FBD9}">
  <sheetPr codeName="Tabelle1"/>
  <dimension ref="A1:AY195"/>
  <sheetViews>
    <sheetView tabSelected="1" zoomScale="85" zoomScaleNormal="85" workbookViewId="0">
      <selection activeCell="B4" sqref="B4:C4"/>
    </sheetView>
  </sheetViews>
  <sheetFormatPr baseColWidth="10" defaultColWidth="11.44140625" defaultRowHeight="13.2" x14ac:dyDescent="0.25"/>
  <cols>
    <col min="1" max="1" width="3.77734375" customWidth="1"/>
    <col min="2" max="10" width="13.77734375" customWidth="1"/>
    <col min="11" max="11" width="3.88671875" customWidth="1"/>
    <col min="12" max="18" width="13.77734375" customWidth="1"/>
    <col min="19" max="19" width="3.77734375" customWidth="1"/>
  </cols>
  <sheetData>
    <row r="1" spans="1:51" x14ac:dyDescent="0.25">
      <c r="A1" s="39"/>
      <c r="B1" s="39"/>
      <c r="C1" s="39"/>
      <c r="D1" s="40"/>
      <c r="E1" s="40"/>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row>
    <row r="2" spans="1:51" x14ac:dyDescent="0.25">
      <c r="A2" s="39"/>
      <c r="B2" s="39"/>
      <c r="C2" s="39"/>
      <c r="D2" s="40"/>
      <c r="E2" s="40"/>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row>
    <row r="3" spans="1:51" x14ac:dyDescent="0.25">
      <c r="A3" s="39"/>
      <c r="B3" s="133" t="s">
        <v>274</v>
      </c>
      <c r="C3" s="133"/>
      <c r="D3" s="40"/>
      <c r="E3" s="133" t="s">
        <v>273</v>
      </c>
      <c r="F3" s="133"/>
      <c r="G3" s="39"/>
      <c r="H3" s="133" t="s">
        <v>279</v>
      </c>
      <c r="I3" s="133"/>
      <c r="J3" s="133"/>
      <c r="K3" s="39"/>
      <c r="L3" s="123" t="s">
        <v>151</v>
      </c>
      <c r="M3" s="124"/>
      <c r="N3" s="124"/>
      <c r="O3" s="124"/>
      <c r="P3" s="124"/>
      <c r="Q3" s="124"/>
      <c r="R3" s="125"/>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row>
    <row r="4" spans="1:51" s="46" customFormat="1" ht="13.2" customHeight="1" x14ac:dyDescent="0.25">
      <c r="A4" s="41"/>
      <c r="B4" s="136">
        <v>45474</v>
      </c>
      <c r="C4" s="134"/>
      <c r="D4" s="40"/>
      <c r="E4" s="134" t="s">
        <v>282</v>
      </c>
      <c r="F4" s="134"/>
      <c r="G4" s="39"/>
      <c r="H4" s="134" t="s">
        <v>281</v>
      </c>
      <c r="I4" s="134"/>
      <c r="J4" s="134"/>
      <c r="K4" s="41"/>
      <c r="L4" s="126" t="s">
        <v>152</v>
      </c>
      <c r="M4" s="127"/>
      <c r="N4" s="127"/>
      <c r="O4" s="127"/>
      <c r="P4" s="127"/>
      <c r="Q4" s="127"/>
      <c r="R4" s="128"/>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row>
    <row r="5" spans="1:51" ht="12.75" customHeight="1" x14ac:dyDescent="0.25">
      <c r="A5" s="39"/>
      <c r="B5" s="47"/>
      <c r="C5" s="47"/>
      <c r="D5" s="47"/>
      <c r="E5" s="47"/>
      <c r="F5" s="47"/>
      <c r="G5" s="39"/>
      <c r="H5" s="47"/>
      <c r="I5" s="47"/>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row>
    <row r="6" spans="1:51" ht="12.75" customHeight="1" x14ac:dyDescent="0.25">
      <c r="A6" s="39"/>
      <c r="B6" s="133" t="s">
        <v>202</v>
      </c>
      <c r="C6" s="133"/>
      <c r="D6" s="47"/>
      <c r="E6" s="133" t="s">
        <v>189</v>
      </c>
      <c r="F6" s="133"/>
      <c r="G6" s="39"/>
      <c r="H6" s="133" t="s">
        <v>280</v>
      </c>
      <c r="I6" s="133"/>
      <c r="J6" s="133"/>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row>
    <row r="7" spans="1:51" ht="12.75" customHeight="1" x14ac:dyDescent="0.25">
      <c r="A7" s="39"/>
      <c r="B7" s="135" t="s">
        <v>293</v>
      </c>
      <c r="C7" s="135"/>
      <c r="D7" s="47"/>
      <c r="E7" s="139" t="s">
        <v>294</v>
      </c>
      <c r="F7" s="140"/>
      <c r="G7" s="39"/>
      <c r="H7" s="134" t="s">
        <v>281</v>
      </c>
      <c r="I7" s="134"/>
      <c r="J7" s="134"/>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row>
    <row r="8" spans="1:51" ht="12.75" customHeight="1" x14ac:dyDescent="0.25">
      <c r="A8" s="39"/>
      <c r="B8" s="47"/>
      <c r="C8" s="47"/>
      <c r="D8" s="47"/>
      <c r="E8" s="47"/>
      <c r="F8" s="47"/>
      <c r="G8" s="47"/>
      <c r="H8" s="47"/>
      <c r="I8" s="47"/>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row>
    <row r="9" spans="1:51" x14ac:dyDescent="0.25">
      <c r="A9" s="39"/>
      <c r="B9" s="129" t="s">
        <v>130</v>
      </c>
      <c r="C9" s="130"/>
      <c r="D9" s="130"/>
      <c r="E9" s="130"/>
      <c r="F9" s="130"/>
      <c r="G9" s="130"/>
      <c r="H9" s="130"/>
      <c r="I9" s="131"/>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row>
    <row r="10" spans="1:51" ht="26.4" x14ac:dyDescent="0.25">
      <c r="A10" s="39"/>
      <c r="B10" s="42" t="s">
        <v>131</v>
      </c>
      <c r="C10" s="43" t="s">
        <v>183</v>
      </c>
      <c r="D10" s="43" t="s">
        <v>184</v>
      </c>
      <c r="E10" s="43" t="s">
        <v>192</v>
      </c>
      <c r="F10" s="43" t="s">
        <v>193</v>
      </c>
      <c r="G10" s="43" t="s">
        <v>127</v>
      </c>
      <c r="H10" s="43" t="s">
        <v>128</v>
      </c>
      <c r="I10" s="43" t="s">
        <v>129</v>
      </c>
      <c r="J10" s="44" t="s">
        <v>141</v>
      </c>
      <c r="K10" s="45"/>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row>
    <row r="11" spans="1:51" x14ac:dyDescent="0.25">
      <c r="A11" s="39"/>
      <c r="B11" s="36">
        <v>350</v>
      </c>
      <c r="C11" s="36">
        <v>605</v>
      </c>
      <c r="D11" s="36">
        <v>400</v>
      </c>
      <c r="E11" s="36">
        <v>110</v>
      </c>
      <c r="F11" s="36">
        <v>800</v>
      </c>
      <c r="G11" s="36">
        <v>150</v>
      </c>
      <c r="H11" s="37">
        <v>0.6</v>
      </c>
      <c r="I11" s="37">
        <v>0.1</v>
      </c>
      <c r="J11" s="103">
        <f>SUM(B11:I11)</f>
        <v>2415.6999999999998</v>
      </c>
      <c r="K11" s="84"/>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row>
    <row r="12" spans="1:51" s="117" customFormat="1" ht="39.6" customHeight="1" x14ac:dyDescent="0.25">
      <c r="A12" s="115"/>
      <c r="B12" s="116"/>
      <c r="C12" s="116"/>
      <c r="D12" s="116"/>
      <c r="E12" s="141" t="str">
        <f>IF(E11&gt;0,"Feinanteil RB an Gesamtfein-fraktion: "&amp;Berechnung!R11&amp;"%","")</f>
        <v>Feinanteil RB an Gesamtfein-fraktion: 15,4%</v>
      </c>
      <c r="F12" s="116"/>
      <c r="G12" s="116"/>
      <c r="H12" s="116"/>
      <c r="I12" s="116"/>
      <c r="J12" s="142" t="str">
        <f>IF(Berechnung!X13&gt;0,"Recyclinganteil an Gesamt-masse: "&amp;Berechnung!X14&amp;"%","")</f>
        <v>Recyclinganteil an Gesamt-masse: 37,7%</v>
      </c>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row>
    <row r="13" spans="1:51" x14ac:dyDescent="0.25">
      <c r="A13" s="39"/>
      <c r="B13" s="129" t="s">
        <v>175</v>
      </c>
      <c r="C13" s="130"/>
      <c r="D13" s="130"/>
      <c r="E13" s="131"/>
      <c r="F13" s="47"/>
      <c r="G13" s="129" t="s">
        <v>180</v>
      </c>
      <c r="H13" s="131"/>
      <c r="I13" s="57"/>
      <c r="J13" s="78" t="s">
        <v>174</v>
      </c>
      <c r="K13" s="57"/>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row>
    <row r="14" spans="1:51" ht="26.4" x14ac:dyDescent="0.25">
      <c r="A14" s="39"/>
      <c r="B14" s="85" t="s">
        <v>268</v>
      </c>
      <c r="C14" s="86" t="s">
        <v>132</v>
      </c>
      <c r="D14" s="86" t="s">
        <v>187</v>
      </c>
      <c r="E14" s="87" t="s">
        <v>188</v>
      </c>
      <c r="F14" s="47"/>
      <c r="G14" s="42" t="s">
        <v>136</v>
      </c>
      <c r="H14" s="44" t="s">
        <v>197</v>
      </c>
      <c r="I14" s="57"/>
      <c r="J14" s="58" t="s">
        <v>181</v>
      </c>
      <c r="K14" s="57"/>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row>
    <row r="15" spans="1:51" x14ac:dyDescent="0.25">
      <c r="A15" s="39"/>
      <c r="B15" s="109" t="s">
        <v>262</v>
      </c>
      <c r="C15" s="110">
        <v>100</v>
      </c>
      <c r="D15" s="110">
        <v>50</v>
      </c>
      <c r="E15" s="110">
        <v>50</v>
      </c>
      <c r="F15" s="47"/>
      <c r="G15" s="36">
        <v>25</v>
      </c>
      <c r="H15" s="83">
        <f>G15</f>
        <v>25</v>
      </c>
      <c r="I15" s="57"/>
      <c r="J15" s="38" t="s">
        <v>116</v>
      </c>
      <c r="K15" s="57"/>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row>
    <row r="16" spans="1:51" ht="4.95" customHeight="1" x14ac:dyDescent="0.25">
      <c r="A16" s="57"/>
      <c r="B16" s="57"/>
      <c r="C16" s="57"/>
      <c r="D16" s="57"/>
      <c r="E16" s="57"/>
      <c r="F16" s="57"/>
      <c r="G16" s="57"/>
      <c r="H16" s="57"/>
      <c r="I16" s="57"/>
      <c r="J16" s="57"/>
      <c r="K16" s="57"/>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row>
    <row r="17" spans="1:51" x14ac:dyDescent="0.25">
      <c r="A17" s="57"/>
      <c r="B17" s="78" t="s">
        <v>263</v>
      </c>
      <c r="C17" s="36">
        <v>0</v>
      </c>
      <c r="D17" s="36">
        <v>0</v>
      </c>
      <c r="E17" s="36">
        <v>0</v>
      </c>
      <c r="F17" s="47"/>
      <c r="G17" s="36">
        <v>0</v>
      </c>
      <c r="H17" s="83">
        <f>G17</f>
        <v>0</v>
      </c>
      <c r="I17" s="57"/>
      <c r="J17" s="57"/>
      <c r="K17" s="57"/>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row>
    <row r="18" spans="1:51" ht="4.95" customHeight="1" x14ac:dyDescent="0.25">
      <c r="A18" s="57"/>
      <c r="B18" s="57"/>
      <c r="C18" s="57"/>
      <c r="D18" s="57"/>
      <c r="E18" s="57"/>
      <c r="F18" s="57"/>
      <c r="G18" s="57"/>
      <c r="H18" s="57"/>
      <c r="I18" s="57"/>
      <c r="J18" s="57"/>
      <c r="K18" s="57"/>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row>
    <row r="19" spans="1:51" x14ac:dyDescent="0.25">
      <c r="A19" s="57"/>
      <c r="B19" s="78" t="s">
        <v>264</v>
      </c>
      <c r="C19" s="36">
        <v>0</v>
      </c>
      <c r="D19" s="36">
        <v>0</v>
      </c>
      <c r="E19" s="36">
        <v>0</v>
      </c>
      <c r="F19" s="47"/>
      <c r="G19" s="83">
        <v>0</v>
      </c>
      <c r="H19" s="83">
        <f>G19</f>
        <v>0</v>
      </c>
      <c r="I19" s="57"/>
      <c r="J19" s="57"/>
      <c r="K19" s="57"/>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row>
    <row r="20" spans="1:51" ht="4.95" customHeight="1" x14ac:dyDescent="0.25">
      <c r="A20" s="57"/>
      <c r="B20" s="57"/>
      <c r="C20" s="57"/>
      <c r="D20" s="57"/>
      <c r="E20" s="57"/>
      <c r="F20" s="57"/>
      <c r="G20" s="57"/>
      <c r="H20" s="57"/>
      <c r="I20" s="57"/>
      <c r="J20" s="57"/>
      <c r="K20" s="57"/>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row>
    <row r="21" spans="1:51" x14ac:dyDescent="0.25">
      <c r="A21" s="57"/>
      <c r="B21" s="78" t="s">
        <v>265</v>
      </c>
      <c r="C21" s="36">
        <v>0</v>
      </c>
      <c r="D21" s="36">
        <v>0</v>
      </c>
      <c r="E21" s="36">
        <v>0</v>
      </c>
      <c r="F21" s="47"/>
      <c r="G21" s="83">
        <v>0</v>
      </c>
      <c r="H21" s="83">
        <f>G21</f>
        <v>0</v>
      </c>
      <c r="I21" s="57"/>
      <c r="J21" s="57"/>
      <c r="K21" s="57"/>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row>
    <row r="22" spans="1:51" s="46" customFormat="1" x14ac:dyDescent="0.25">
      <c r="A22" s="39"/>
      <c r="B22" s="47"/>
      <c r="C22" s="47"/>
      <c r="D22" s="47"/>
      <c r="E22" s="47"/>
      <c r="F22" s="47"/>
      <c r="G22" s="47"/>
      <c r="H22" s="47"/>
      <c r="I22" s="47"/>
      <c r="J22" s="39"/>
      <c r="K22" s="39"/>
      <c r="L22" s="41"/>
      <c r="M22" s="41"/>
      <c r="N22" s="41"/>
      <c r="O22" s="41"/>
      <c r="P22" s="41"/>
      <c r="Q22" s="41"/>
      <c r="R22" s="41"/>
      <c r="S22" s="41"/>
      <c r="T22" s="41"/>
      <c r="U22" s="39"/>
      <c r="V22" s="39"/>
      <c r="W22" s="39"/>
      <c r="X22" s="39"/>
      <c r="Y22" s="39"/>
      <c r="Z22" s="39"/>
      <c r="AA22" s="39"/>
      <c r="AB22" s="39"/>
      <c r="AC22" s="39"/>
      <c r="AD22" s="39"/>
      <c r="AE22" s="41"/>
      <c r="AF22" s="41"/>
      <c r="AG22" s="41"/>
      <c r="AH22" s="41"/>
      <c r="AI22" s="41"/>
      <c r="AJ22" s="41"/>
      <c r="AK22" s="41"/>
      <c r="AL22" s="41"/>
      <c r="AM22" s="41"/>
      <c r="AN22" s="41"/>
      <c r="AO22" s="41"/>
      <c r="AP22" s="41"/>
      <c r="AQ22" s="41"/>
      <c r="AR22" s="41"/>
      <c r="AS22" s="41"/>
      <c r="AT22" s="41"/>
      <c r="AU22" s="41"/>
      <c r="AV22" s="41"/>
      <c r="AW22" s="41"/>
      <c r="AX22" s="41"/>
      <c r="AY22" s="41"/>
    </row>
    <row r="23" spans="1:51" s="46" customFormat="1" x14ac:dyDescent="0.25">
      <c r="A23" s="39"/>
      <c r="B23" s="129" t="s">
        <v>153</v>
      </c>
      <c r="C23" s="130"/>
      <c r="D23" s="130"/>
      <c r="E23" s="130"/>
      <c r="F23" s="130"/>
      <c r="G23" s="130"/>
      <c r="H23" s="130"/>
      <c r="I23" s="131"/>
      <c r="J23" s="39"/>
      <c r="K23" s="39"/>
      <c r="L23" s="41"/>
      <c r="M23" s="41"/>
      <c r="N23" s="41"/>
      <c r="O23" s="41"/>
      <c r="P23" s="41"/>
      <c r="Q23" s="41"/>
      <c r="R23" s="41"/>
      <c r="S23" s="41"/>
      <c r="T23" s="41"/>
      <c r="U23" s="39"/>
      <c r="V23" s="39"/>
      <c r="W23" s="39"/>
      <c r="X23" s="39"/>
      <c r="Y23" s="39"/>
      <c r="Z23" s="39"/>
      <c r="AA23" s="39"/>
      <c r="AB23" s="39"/>
      <c r="AC23" s="39"/>
      <c r="AD23" s="39"/>
      <c r="AE23" s="41"/>
      <c r="AF23" s="41"/>
      <c r="AG23" s="41"/>
      <c r="AH23" s="41"/>
      <c r="AI23" s="41"/>
      <c r="AJ23" s="41"/>
      <c r="AK23" s="41"/>
      <c r="AL23" s="41"/>
      <c r="AM23" s="41"/>
      <c r="AN23" s="41"/>
      <c r="AO23" s="41"/>
      <c r="AP23" s="41"/>
      <c r="AQ23" s="41"/>
      <c r="AR23" s="41"/>
      <c r="AS23" s="41"/>
      <c r="AT23" s="41"/>
      <c r="AU23" s="41"/>
      <c r="AV23" s="41"/>
      <c r="AW23" s="41"/>
      <c r="AX23" s="41"/>
      <c r="AY23" s="41"/>
    </row>
    <row r="24" spans="1:51" x14ac:dyDescent="0.25">
      <c r="A24" s="41"/>
      <c r="B24" s="42" t="s">
        <v>0</v>
      </c>
      <c r="C24" s="43" t="s">
        <v>185</v>
      </c>
      <c r="D24" s="43" t="s">
        <v>186</v>
      </c>
      <c r="E24" s="43" t="s">
        <v>190</v>
      </c>
      <c r="F24" s="43" t="s">
        <v>191</v>
      </c>
      <c r="G24" s="43" t="s">
        <v>10</v>
      </c>
      <c r="H24" s="43" t="s">
        <v>97</v>
      </c>
      <c r="I24" s="43" t="s">
        <v>79</v>
      </c>
      <c r="J24" s="44" t="s">
        <v>47</v>
      </c>
      <c r="K24" s="41"/>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row>
    <row r="25" spans="1:51" x14ac:dyDescent="0.25">
      <c r="A25" s="41"/>
      <c r="B25" s="48" t="s">
        <v>138</v>
      </c>
      <c r="C25" s="49" t="s">
        <v>138</v>
      </c>
      <c r="D25" s="49" t="s">
        <v>138</v>
      </c>
      <c r="E25" s="49" t="s">
        <v>138</v>
      </c>
      <c r="F25" s="49" t="s">
        <v>138</v>
      </c>
      <c r="G25" s="49" t="s">
        <v>138</v>
      </c>
      <c r="H25" s="49" t="s">
        <v>138</v>
      </c>
      <c r="I25" s="49" t="s">
        <v>138</v>
      </c>
      <c r="J25" s="50" t="s">
        <v>138</v>
      </c>
      <c r="K25" s="41"/>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row>
    <row r="26" spans="1:51" x14ac:dyDescent="0.25">
      <c r="A26" s="39"/>
      <c r="B26" s="51">
        <f>Berechnung!Z6</f>
        <v>141.63919000000001</v>
      </c>
      <c r="C26" s="51">
        <f>Berechnung!AA6</f>
        <v>1.1495</v>
      </c>
      <c r="D26" s="51">
        <f>Berechnung!AB6</f>
        <v>0.96</v>
      </c>
      <c r="E26" s="51">
        <f>Berechnung!AF6</f>
        <v>0.18755000000000002</v>
      </c>
      <c r="F26" s="51">
        <f>Berechnung!AG6</f>
        <v>1.3640000000000001</v>
      </c>
      <c r="G26" s="51">
        <f>Berechnung!AC6</f>
        <v>1.7100000000000001E-2</v>
      </c>
      <c r="H26" s="51">
        <f>Berechnung!AD6</f>
        <v>0.26339999999999997</v>
      </c>
      <c r="I26" s="51">
        <f>Berechnung!AE6</f>
        <v>0.13400000000000001</v>
      </c>
      <c r="J26" s="52">
        <f>Berechnung!AH6</f>
        <v>145.71473999999998</v>
      </c>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row>
    <row r="27" spans="1:51" x14ac:dyDescent="0.25">
      <c r="A27" s="39"/>
      <c r="B27" s="53">
        <f t="shared" ref="B27:J27" si="0">B26/$J$26</f>
        <v>0.97203062641432181</v>
      </c>
      <c r="C27" s="54">
        <f t="shared" si="0"/>
        <v>7.8887008960109323E-3</v>
      </c>
      <c r="D27" s="54">
        <f t="shared" si="0"/>
        <v>6.588214754389296E-3</v>
      </c>
      <c r="E27" s="54">
        <f t="shared" si="0"/>
        <v>1.287103830401784E-3</v>
      </c>
      <c r="F27" s="54">
        <f t="shared" si="0"/>
        <v>9.3607551301947926E-3</v>
      </c>
      <c r="G27" s="54">
        <f t="shared" si="0"/>
        <v>1.1735257531255934E-4</v>
      </c>
      <c r="H27" s="54">
        <f t="shared" si="0"/>
        <v>1.8076414232355629E-3</v>
      </c>
      <c r="I27" s="54">
        <f t="shared" si="0"/>
        <v>9.1960497613350603E-4</v>
      </c>
      <c r="J27" s="55">
        <f t="shared" si="0"/>
        <v>1</v>
      </c>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row>
    <row r="28" spans="1:51" x14ac:dyDescent="0.25">
      <c r="A28" s="39"/>
      <c r="B28" s="56" t="str">
        <f>B30</f>
        <v>Rucksack
A1</v>
      </c>
      <c r="C28" s="56" t="str">
        <f t="shared" ref="C28:D28" si="1">C30</f>
        <v>Transport
A2</v>
      </c>
      <c r="D28" s="56" t="str">
        <f t="shared" si="1"/>
        <v>Herstellung
A3</v>
      </c>
      <c r="E28" s="56" t="str">
        <f>F30</f>
        <v>Transp. Bst.
A4</v>
      </c>
      <c r="F28" s="74" t="str">
        <f>G30</f>
        <v>Ausbau &amp; Transp. C1-C2</v>
      </c>
      <c r="G28" s="56">
        <f>Berechnung!AN6</f>
        <v>0</v>
      </c>
      <c r="H28" s="56">
        <f>Berechnung!AO6</f>
        <v>0</v>
      </c>
      <c r="I28" s="56">
        <f>Berechnung!AR6</f>
        <v>8.1388799999999986</v>
      </c>
      <c r="J28" s="57" t="s">
        <v>126</v>
      </c>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row>
    <row r="29" spans="1:51" x14ac:dyDescent="0.25">
      <c r="A29" s="39"/>
      <c r="B29" s="73">
        <f>B32</f>
        <v>145.71473999999998</v>
      </c>
      <c r="C29" s="73">
        <f>C32</f>
        <v>8.1388799999999986</v>
      </c>
      <c r="D29" s="73">
        <f>D32</f>
        <v>0.34499999999999997</v>
      </c>
      <c r="E29" s="73">
        <f>F32</f>
        <v>4.5511787999999997</v>
      </c>
      <c r="F29" s="73">
        <f>G32</f>
        <v>6.8245121333333332</v>
      </c>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row>
    <row r="30" spans="1:51" ht="39.6" x14ac:dyDescent="0.25">
      <c r="A30" s="39"/>
      <c r="B30" s="42" t="s">
        <v>134</v>
      </c>
      <c r="C30" s="43" t="s">
        <v>137</v>
      </c>
      <c r="D30" s="44" t="s">
        <v>135</v>
      </c>
      <c r="E30" s="58" t="s">
        <v>139</v>
      </c>
      <c r="F30" s="58" t="s">
        <v>140</v>
      </c>
      <c r="G30" s="44" t="s">
        <v>170</v>
      </c>
      <c r="H30" s="39"/>
      <c r="I30" s="58" t="s">
        <v>171</v>
      </c>
      <c r="J30" s="58" t="s">
        <v>171</v>
      </c>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row>
    <row r="31" spans="1:51" x14ac:dyDescent="0.25">
      <c r="A31" s="39"/>
      <c r="B31" s="59" t="s">
        <v>138</v>
      </c>
      <c r="C31" s="60" t="s">
        <v>138</v>
      </c>
      <c r="D31" s="61" t="s">
        <v>138</v>
      </c>
      <c r="E31" s="62" t="s">
        <v>138</v>
      </c>
      <c r="F31" s="62" t="s">
        <v>138</v>
      </c>
      <c r="G31" s="61" t="s">
        <v>138</v>
      </c>
      <c r="H31" s="39"/>
      <c r="I31" s="62" t="s">
        <v>138</v>
      </c>
      <c r="J31" s="62" t="s">
        <v>275</v>
      </c>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row>
    <row r="32" spans="1:51" x14ac:dyDescent="0.25">
      <c r="A32" s="39"/>
      <c r="B32" s="52">
        <f>Berechnung!AH6</f>
        <v>145.71473999999998</v>
      </c>
      <c r="C32" s="51">
        <f>Berechnung!AR6</f>
        <v>8.1388799999999986</v>
      </c>
      <c r="D32" s="63">
        <f>Berechnung!AT6</f>
        <v>0.34499999999999997</v>
      </c>
      <c r="E32" s="64">
        <f>SUM(B32:D32)</f>
        <v>154.19861999999998</v>
      </c>
      <c r="F32" s="65">
        <f>Berechnung!AX6</f>
        <v>4.5511787999999997</v>
      </c>
      <c r="G32" s="75">
        <f>Berechnung!BH6</f>
        <v>6.8245121333333332</v>
      </c>
      <c r="H32" s="39"/>
      <c r="I32" s="64">
        <f>SUM(E32:G32)</f>
        <v>165.57431093333332</v>
      </c>
      <c r="J32" s="64">
        <f>I32/J11*1000</f>
        <v>68.54092434215066</v>
      </c>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row>
    <row r="33" spans="1:51" x14ac:dyDescent="0.25">
      <c r="A33" s="39"/>
      <c r="B33" s="79">
        <f>B32/SUM($B$32:$D$32)</f>
        <v>0.9449808305677444</v>
      </c>
      <c r="C33" s="80">
        <f>C32/SUM($B$32:$D$32)</f>
        <v>5.2781795323460091E-2</v>
      </c>
      <c r="D33" s="81">
        <f>D32/SUM($B$32:$D$32)</f>
        <v>2.2373741087955263E-3</v>
      </c>
      <c r="E33" s="82">
        <f>E32/SUM($B$32:$D$32)</f>
        <v>1</v>
      </c>
      <c r="F33" s="55">
        <f>F32/$I$32</f>
        <v>2.7487227785187533E-2</v>
      </c>
      <c r="G33" s="55">
        <f>G32/$I$32</f>
        <v>4.1217215973081402E-2</v>
      </c>
      <c r="H33" s="39"/>
      <c r="I33" s="72">
        <f>I32/$I$32</f>
        <v>1</v>
      </c>
      <c r="J33" s="72" t="s">
        <v>195</v>
      </c>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row>
    <row r="34" spans="1:51" x14ac:dyDescent="0.25">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row>
    <row r="35" spans="1:51" x14ac:dyDescent="0.25">
      <c r="A35" s="39"/>
      <c r="B35" s="39"/>
      <c r="C35" s="66"/>
      <c r="D35" s="118" t="s">
        <v>289</v>
      </c>
      <c r="E35" s="119" t="s">
        <v>283</v>
      </c>
      <c r="F35" s="118" t="s">
        <v>290</v>
      </c>
      <c r="G35" s="120" t="s">
        <v>287</v>
      </c>
      <c r="H35" s="118"/>
      <c r="I35" s="118" t="s">
        <v>291</v>
      </c>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row>
    <row r="36" spans="1:51" x14ac:dyDescent="0.25">
      <c r="A36" s="39"/>
      <c r="B36" s="39"/>
      <c r="C36" s="66"/>
      <c r="D36" s="118" t="s">
        <v>285</v>
      </c>
      <c r="E36" s="119" t="s">
        <v>284</v>
      </c>
      <c r="F36" s="118" t="s">
        <v>288</v>
      </c>
      <c r="G36" s="120" t="s">
        <v>287</v>
      </c>
      <c r="H36" s="118"/>
      <c r="I36" s="118" t="s">
        <v>146</v>
      </c>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row>
    <row r="37" spans="1:51" x14ac:dyDescent="0.25">
      <c r="A37" s="39"/>
      <c r="B37" s="39"/>
      <c r="C37" s="66"/>
      <c r="D37" s="118" t="s">
        <v>286</v>
      </c>
      <c r="E37" s="119" t="s">
        <v>284</v>
      </c>
      <c r="F37" s="118"/>
      <c r="G37" s="118"/>
      <c r="H37" s="118"/>
      <c r="I37" s="118" t="s">
        <v>147</v>
      </c>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row>
    <row r="38" spans="1:51" x14ac:dyDescent="0.25">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row>
    <row r="39" spans="1:51" x14ac:dyDescent="0.25">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row>
    <row r="40" spans="1:51" x14ac:dyDescent="0.25">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row>
    <row r="41" spans="1:51" x14ac:dyDescent="0.25">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row>
    <row r="42" spans="1:51" x14ac:dyDescent="0.2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row>
    <row r="43" spans="1:51" x14ac:dyDescent="0.25">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row>
    <row r="44" spans="1:51" x14ac:dyDescent="0.25">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row>
    <row r="45" spans="1:51" x14ac:dyDescent="0.25">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row>
    <row r="46" spans="1:51" x14ac:dyDescent="0.25">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row>
    <row r="47" spans="1:51" x14ac:dyDescent="0.25">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row>
    <row r="48" spans="1:51" x14ac:dyDescent="0.25">
      <c r="A48" s="39"/>
      <c r="B48" s="68"/>
      <c r="C48" s="69"/>
      <c r="D48" s="39"/>
      <c r="E48" s="39"/>
      <c r="F48" s="39"/>
      <c r="G48" s="39"/>
      <c r="H48" s="68"/>
      <c r="I48" s="67"/>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row>
    <row r="49" spans="1:51" x14ac:dyDescent="0.25">
      <c r="A49" s="39"/>
      <c r="B49" s="68" t="s">
        <v>269</v>
      </c>
      <c r="C49" s="69"/>
      <c r="D49" s="39"/>
      <c r="E49" s="39"/>
      <c r="F49" s="39"/>
      <c r="G49" s="39"/>
      <c r="H49" s="68"/>
      <c r="I49" s="67"/>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row>
    <row r="50" spans="1:51" ht="13.2" customHeight="1" x14ac:dyDescent="0.25">
      <c r="A50" s="39"/>
      <c r="B50" s="132" t="s">
        <v>198</v>
      </c>
      <c r="C50" s="132"/>
      <c r="D50" s="132"/>
      <c r="E50" s="132"/>
      <c r="F50" s="132"/>
      <c r="G50" s="132"/>
      <c r="H50" s="132"/>
      <c r="I50" s="132"/>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row>
    <row r="51" spans="1:51" x14ac:dyDescent="0.25">
      <c r="A51" s="39"/>
      <c r="B51" s="132"/>
      <c r="C51" s="132"/>
      <c r="D51" s="132"/>
      <c r="E51" s="132"/>
      <c r="F51" s="132"/>
      <c r="G51" s="132"/>
      <c r="H51" s="132"/>
      <c r="I51" s="132"/>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row>
    <row r="52" spans="1:51" x14ac:dyDescent="0.25">
      <c r="A52" s="39"/>
      <c r="B52" s="132"/>
      <c r="C52" s="132"/>
      <c r="D52" s="132"/>
      <c r="E52" s="132"/>
      <c r="F52" s="132"/>
      <c r="G52" s="132"/>
      <c r="H52" s="132"/>
      <c r="I52" s="132"/>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row>
    <row r="53" spans="1:51" x14ac:dyDescent="0.25">
      <c r="A53" s="39"/>
      <c r="B53" s="132"/>
      <c r="C53" s="132"/>
      <c r="D53" s="132"/>
      <c r="E53" s="132"/>
      <c r="F53" s="132"/>
      <c r="G53" s="132"/>
      <c r="H53" s="132"/>
      <c r="I53" s="132"/>
      <c r="J53" s="39"/>
      <c r="K53" s="39"/>
      <c r="L53" s="68" t="s">
        <v>270</v>
      </c>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row>
    <row r="54" spans="1:51" x14ac:dyDescent="0.25">
      <c r="A54" s="39"/>
      <c r="B54" s="132"/>
      <c r="C54" s="132"/>
      <c r="D54" s="132"/>
      <c r="E54" s="132"/>
      <c r="F54" s="132"/>
      <c r="G54" s="132"/>
      <c r="H54" s="132"/>
      <c r="I54" s="132"/>
      <c r="J54" s="39"/>
      <c r="K54" s="39"/>
      <c r="L54" s="70" t="s">
        <v>257</v>
      </c>
      <c r="M54" s="39"/>
      <c r="N54" s="39"/>
      <c r="O54" s="122" t="s">
        <v>271</v>
      </c>
      <c r="P54" s="122"/>
      <c r="Q54" s="39"/>
      <c r="R54" s="111" t="s">
        <v>199</v>
      </c>
      <c r="S54" s="111"/>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row>
    <row r="55" spans="1:51" x14ac:dyDescent="0.25">
      <c r="A55" s="39"/>
      <c r="B55" s="132"/>
      <c r="C55" s="132"/>
      <c r="D55" s="132"/>
      <c r="E55" s="132"/>
      <c r="F55" s="132"/>
      <c r="G55" s="132"/>
      <c r="H55" s="132"/>
      <c r="I55" s="132"/>
      <c r="J55" s="39"/>
      <c r="K55" s="39"/>
      <c r="L55" s="70" t="s">
        <v>182</v>
      </c>
      <c r="M55" s="39"/>
      <c r="N55" s="39"/>
      <c r="O55" s="122" t="s">
        <v>272</v>
      </c>
      <c r="P55" s="122"/>
      <c r="Q55" s="39"/>
      <c r="R55" s="112" t="s">
        <v>295</v>
      </c>
      <c r="S55" s="112"/>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row>
    <row r="56" spans="1:51" x14ac:dyDescent="0.25">
      <c r="A56" s="39"/>
      <c r="B56" s="70"/>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row>
    <row r="57" spans="1:51" x14ac:dyDescent="0.25">
      <c r="A57" s="39"/>
      <c r="B57" s="68"/>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row>
    <row r="58" spans="1:51" ht="13.2" customHeight="1" x14ac:dyDescent="0.25">
      <c r="A58" s="39"/>
      <c r="B58" s="70"/>
      <c r="C58" s="39"/>
      <c r="D58" s="39"/>
      <c r="E58" s="122"/>
      <c r="F58" s="122"/>
      <c r="G58" s="39"/>
      <c r="H58" s="39"/>
      <c r="I58" s="111"/>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row>
    <row r="59" spans="1:51" x14ac:dyDescent="0.25">
      <c r="A59" s="39"/>
      <c r="B59" s="70"/>
      <c r="C59" s="39"/>
      <c r="D59" s="39"/>
      <c r="E59" s="122"/>
      <c r="F59" s="122"/>
      <c r="G59" s="39"/>
      <c r="H59" s="39"/>
      <c r="I59" s="112"/>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row>
    <row r="60" spans="1:51" x14ac:dyDescent="0.25">
      <c r="A60" s="39"/>
      <c r="B60" s="68"/>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row>
    <row r="61" spans="1:51" x14ac:dyDescent="0.25">
      <c r="A61" s="39"/>
      <c r="B61" s="70"/>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row>
    <row r="62" spans="1:51" x14ac:dyDescent="0.25">
      <c r="A62" s="39"/>
      <c r="B62" s="70"/>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row>
    <row r="63" spans="1:51" x14ac:dyDescent="0.25">
      <c r="A63" s="39"/>
      <c r="B63" s="70"/>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row>
    <row r="64" spans="1:51" x14ac:dyDescent="0.25">
      <c r="A64" s="39"/>
      <c r="B64" s="6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row>
    <row r="65" spans="1:51" x14ac:dyDescent="0.25">
      <c r="A65" s="39"/>
      <c r="B65" s="70"/>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row>
    <row r="66" spans="1:51" x14ac:dyDescent="0.25">
      <c r="A66" s="39"/>
      <c r="B66" s="71"/>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row>
    <row r="67" spans="1:51" x14ac:dyDescent="0.25">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row>
    <row r="68" spans="1:51" x14ac:dyDescent="0.25">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row>
    <row r="69" spans="1:51" x14ac:dyDescent="0.25">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row>
    <row r="70" spans="1:51" x14ac:dyDescent="0.25">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row>
    <row r="71" spans="1:51" x14ac:dyDescent="0.25">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row>
    <row r="72" spans="1:51" x14ac:dyDescent="0.25">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row>
    <row r="73" spans="1:51" x14ac:dyDescent="0.25">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row>
    <row r="74" spans="1:51" x14ac:dyDescent="0.25">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row>
    <row r="75" spans="1:51" x14ac:dyDescent="0.25">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row>
    <row r="76" spans="1:51" x14ac:dyDescent="0.25">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row>
    <row r="77" spans="1:51" x14ac:dyDescent="0.25">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row>
    <row r="78" spans="1:51" x14ac:dyDescent="0.25">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row>
    <row r="79" spans="1:51" x14ac:dyDescent="0.25">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row>
    <row r="80" spans="1:51" x14ac:dyDescent="0.25">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row>
    <row r="81" spans="1:51" x14ac:dyDescent="0.25">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row>
    <row r="82" spans="1:51" x14ac:dyDescent="0.25">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row>
    <row r="83" spans="1:51" x14ac:dyDescent="0.25">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row>
    <row r="84" spans="1:51" x14ac:dyDescent="0.25">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row>
    <row r="85" spans="1:51" x14ac:dyDescent="0.25">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row>
    <row r="86" spans="1:51" x14ac:dyDescent="0.25">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row>
    <row r="87" spans="1:51" x14ac:dyDescent="0.25">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row>
    <row r="88" spans="1:51" x14ac:dyDescent="0.25">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row>
    <row r="89" spans="1:51" x14ac:dyDescent="0.25">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row>
    <row r="90" spans="1:51" x14ac:dyDescent="0.25">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row>
    <row r="91" spans="1:51" x14ac:dyDescent="0.25">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row>
    <row r="92" spans="1:51" x14ac:dyDescent="0.25">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row>
    <row r="93" spans="1:51" x14ac:dyDescent="0.25">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row>
    <row r="94" spans="1:51" x14ac:dyDescent="0.25">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row>
    <row r="95" spans="1:51" x14ac:dyDescent="0.25">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row>
    <row r="96" spans="1:51" x14ac:dyDescent="0.25">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row>
    <row r="97" spans="1:51" x14ac:dyDescent="0.25">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row>
    <row r="98" spans="1:51" x14ac:dyDescent="0.25">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row>
    <row r="99" spans="1:51" x14ac:dyDescent="0.25">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row>
    <row r="100" spans="1:51" x14ac:dyDescent="0.25">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row>
    <row r="101" spans="1:51" x14ac:dyDescent="0.25">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row>
    <row r="102" spans="1:51" x14ac:dyDescent="0.25">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row>
    <row r="103" spans="1:51" x14ac:dyDescent="0.25">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row>
    <row r="104" spans="1:51" x14ac:dyDescent="0.25">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row>
    <row r="105" spans="1:51" x14ac:dyDescent="0.25">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row>
    <row r="106" spans="1:51" x14ac:dyDescent="0.25">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row>
    <row r="107" spans="1:51" x14ac:dyDescent="0.25">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row>
    <row r="108" spans="1:51" x14ac:dyDescent="0.25">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row>
    <row r="109" spans="1:51" x14ac:dyDescent="0.25">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row>
    <row r="110" spans="1:51" x14ac:dyDescent="0.25">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row>
    <row r="111" spans="1:51" x14ac:dyDescent="0.25">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c r="AW111" s="39"/>
      <c r="AX111" s="39"/>
      <c r="AY111" s="39"/>
    </row>
    <row r="112" spans="1:51" x14ac:dyDescent="0.25">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c r="AX112" s="39"/>
      <c r="AY112" s="39"/>
    </row>
    <row r="113" spans="1:51" x14ac:dyDescent="0.25">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row>
    <row r="114" spans="1:51" x14ac:dyDescent="0.25">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row>
    <row r="115" spans="1:51" x14ac:dyDescent="0.25">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c r="AX115" s="39"/>
      <c r="AY115" s="39"/>
    </row>
    <row r="116" spans="1:51" x14ac:dyDescent="0.25">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row>
    <row r="117" spans="1:51" x14ac:dyDescent="0.25">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39"/>
    </row>
    <row r="118" spans="1:51" x14ac:dyDescent="0.25">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39"/>
    </row>
    <row r="119" spans="1:51" x14ac:dyDescent="0.25">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c r="AX119" s="39"/>
      <c r="AY119" s="39"/>
    </row>
    <row r="120" spans="1:51" x14ac:dyDescent="0.25">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39"/>
    </row>
    <row r="121" spans="1:51" x14ac:dyDescent="0.25">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c r="AX121" s="39"/>
      <c r="AY121" s="39"/>
    </row>
    <row r="122" spans="1:51" x14ac:dyDescent="0.25">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c r="AX122" s="39"/>
      <c r="AY122" s="39"/>
    </row>
    <row r="123" spans="1:51" x14ac:dyDescent="0.25">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row>
    <row r="124" spans="1:51" x14ac:dyDescent="0.25">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row>
    <row r="125" spans="1:51" x14ac:dyDescent="0.25">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row>
    <row r="126" spans="1:51" x14ac:dyDescent="0.25">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39"/>
    </row>
    <row r="127" spans="1:51" x14ac:dyDescent="0.25">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c r="AX127" s="39"/>
      <c r="AY127" s="39"/>
    </row>
    <row r="128" spans="1:51" x14ac:dyDescent="0.25">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c r="AX128" s="39"/>
      <c r="AY128" s="39"/>
    </row>
    <row r="129" spans="1:51" x14ac:dyDescent="0.25">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9"/>
      <c r="AY129" s="39"/>
    </row>
    <row r="130" spans="1:51" x14ac:dyDescent="0.25">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row>
    <row r="131" spans="1:51" x14ac:dyDescent="0.25">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c r="AX131" s="39"/>
      <c r="AY131" s="39"/>
    </row>
    <row r="132" spans="1:51" x14ac:dyDescent="0.25">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c r="AX132" s="39"/>
      <c r="AY132" s="39"/>
    </row>
    <row r="133" spans="1:51" x14ac:dyDescent="0.25">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c r="AX133" s="39"/>
      <c r="AY133" s="39"/>
    </row>
    <row r="134" spans="1:51" x14ac:dyDescent="0.25">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39"/>
      <c r="AW134" s="39"/>
      <c r="AX134" s="39"/>
      <c r="AY134" s="39"/>
    </row>
    <row r="135" spans="1:51" x14ac:dyDescent="0.25">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c r="AX135" s="39"/>
      <c r="AY135" s="39"/>
    </row>
    <row r="136" spans="1:51" x14ac:dyDescent="0.25">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row>
    <row r="137" spans="1:51" x14ac:dyDescent="0.25">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row>
    <row r="138" spans="1:51" x14ac:dyDescent="0.25">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39"/>
      <c r="AW138" s="39"/>
      <c r="AX138" s="39"/>
      <c r="AY138" s="39"/>
    </row>
    <row r="139" spans="1:51" x14ac:dyDescent="0.25">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39"/>
      <c r="AW139" s="39"/>
      <c r="AX139" s="39"/>
      <c r="AY139" s="39"/>
    </row>
    <row r="140" spans="1:51" x14ac:dyDescent="0.25">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c r="AX140" s="39"/>
      <c r="AY140" s="39"/>
    </row>
    <row r="141" spans="1:51" x14ac:dyDescent="0.25">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c r="AX141" s="39"/>
      <c r="AY141" s="39"/>
    </row>
    <row r="142" spans="1:51" x14ac:dyDescent="0.25">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39"/>
      <c r="AW142" s="39"/>
      <c r="AX142" s="39"/>
      <c r="AY142" s="39"/>
    </row>
    <row r="143" spans="1:51" x14ac:dyDescent="0.25">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row>
    <row r="144" spans="1:51" x14ac:dyDescent="0.25">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c r="AS144" s="39"/>
      <c r="AT144" s="39"/>
      <c r="AU144" s="39"/>
      <c r="AV144" s="39"/>
      <c r="AW144" s="39"/>
      <c r="AX144" s="39"/>
      <c r="AY144" s="39"/>
    </row>
    <row r="145" spans="1:51" x14ac:dyDescent="0.25">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39"/>
      <c r="AC145" s="39"/>
      <c r="AD145" s="39"/>
      <c r="AE145" s="39"/>
      <c r="AF145" s="39"/>
      <c r="AG145" s="39"/>
      <c r="AH145" s="39"/>
      <c r="AI145" s="39"/>
      <c r="AJ145" s="39"/>
      <c r="AK145" s="39"/>
      <c r="AL145" s="39"/>
      <c r="AM145" s="39"/>
      <c r="AN145" s="39"/>
      <c r="AO145" s="39"/>
      <c r="AP145" s="39"/>
      <c r="AQ145" s="39"/>
      <c r="AR145" s="39"/>
      <c r="AS145" s="39"/>
      <c r="AT145" s="39"/>
      <c r="AU145" s="39"/>
      <c r="AV145" s="39"/>
      <c r="AW145" s="39"/>
      <c r="AX145" s="39"/>
      <c r="AY145" s="39"/>
    </row>
    <row r="146" spans="1:51" x14ac:dyDescent="0.25">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39"/>
      <c r="AS146" s="39"/>
      <c r="AT146" s="39"/>
      <c r="AU146" s="39"/>
      <c r="AV146" s="39"/>
      <c r="AW146" s="39"/>
      <c r="AX146" s="39"/>
      <c r="AY146" s="39"/>
    </row>
    <row r="147" spans="1:51" x14ac:dyDescent="0.25">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39"/>
      <c r="AV147" s="39"/>
      <c r="AW147" s="39"/>
      <c r="AX147" s="39"/>
      <c r="AY147" s="39"/>
    </row>
    <row r="148" spans="1:51" x14ac:dyDescent="0.25">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39"/>
      <c r="AK148" s="39"/>
      <c r="AL148" s="39"/>
      <c r="AM148" s="39"/>
      <c r="AN148" s="39"/>
      <c r="AO148" s="39"/>
      <c r="AP148" s="39"/>
      <c r="AQ148" s="39"/>
      <c r="AR148" s="39"/>
      <c r="AS148" s="39"/>
      <c r="AT148" s="39"/>
      <c r="AU148" s="39"/>
      <c r="AV148" s="39"/>
      <c r="AW148" s="39"/>
      <c r="AX148" s="39"/>
      <c r="AY148" s="39"/>
    </row>
    <row r="149" spans="1:51" x14ac:dyDescent="0.25">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row>
    <row r="150" spans="1:51" x14ac:dyDescent="0.25">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c r="AS150" s="39"/>
      <c r="AT150" s="39"/>
      <c r="AU150" s="39"/>
      <c r="AV150" s="39"/>
      <c r="AW150" s="39"/>
      <c r="AX150" s="39"/>
      <c r="AY150" s="39"/>
    </row>
    <row r="151" spans="1:51" x14ac:dyDescent="0.25">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39"/>
      <c r="AR151" s="39"/>
      <c r="AS151" s="39"/>
      <c r="AT151" s="39"/>
      <c r="AU151" s="39"/>
      <c r="AV151" s="39"/>
      <c r="AW151" s="39"/>
      <c r="AX151" s="39"/>
      <c r="AY151" s="39"/>
    </row>
    <row r="152" spans="1:51" x14ac:dyDescent="0.25">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9"/>
      <c r="AN152" s="39"/>
      <c r="AO152" s="39"/>
      <c r="AP152" s="39"/>
      <c r="AQ152" s="39"/>
      <c r="AR152" s="39"/>
      <c r="AS152" s="39"/>
      <c r="AT152" s="39"/>
      <c r="AU152" s="39"/>
      <c r="AV152" s="39"/>
      <c r="AW152" s="39"/>
      <c r="AX152" s="39"/>
      <c r="AY152" s="39"/>
    </row>
    <row r="153" spans="1:51" x14ac:dyDescent="0.25">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c r="AL153" s="39"/>
      <c r="AM153" s="39"/>
      <c r="AN153" s="39"/>
      <c r="AO153" s="39"/>
      <c r="AP153" s="39"/>
      <c r="AQ153" s="39"/>
      <c r="AR153" s="39"/>
      <c r="AS153" s="39"/>
      <c r="AT153" s="39"/>
      <c r="AU153" s="39"/>
      <c r="AV153" s="39"/>
      <c r="AW153" s="39"/>
      <c r="AX153" s="39"/>
      <c r="AY153" s="39"/>
    </row>
    <row r="154" spans="1:51" x14ac:dyDescent="0.25">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c r="AK154" s="39"/>
      <c r="AL154" s="39"/>
      <c r="AM154" s="39"/>
      <c r="AN154" s="39"/>
      <c r="AO154" s="39"/>
      <c r="AP154" s="39"/>
      <c r="AQ154" s="39"/>
      <c r="AR154" s="39"/>
      <c r="AS154" s="39"/>
      <c r="AT154" s="39"/>
      <c r="AU154" s="39"/>
      <c r="AV154" s="39"/>
      <c r="AW154" s="39"/>
      <c r="AX154" s="39"/>
      <c r="AY154" s="39"/>
    </row>
    <row r="155" spans="1:51" x14ac:dyDescent="0.25">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39"/>
      <c r="AK155" s="39"/>
      <c r="AL155" s="39"/>
      <c r="AM155" s="39"/>
      <c r="AN155" s="39"/>
      <c r="AO155" s="39"/>
      <c r="AP155" s="39"/>
      <c r="AQ155" s="39"/>
      <c r="AR155" s="39"/>
      <c r="AS155" s="39"/>
      <c r="AT155" s="39"/>
      <c r="AU155" s="39"/>
      <c r="AV155" s="39"/>
      <c r="AW155" s="39"/>
      <c r="AX155" s="39"/>
      <c r="AY155" s="39"/>
    </row>
    <row r="156" spans="1:51" x14ac:dyDescent="0.25">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c r="AL156" s="39"/>
      <c r="AM156" s="39"/>
      <c r="AN156" s="39"/>
      <c r="AO156" s="39"/>
      <c r="AP156" s="39"/>
      <c r="AQ156" s="39"/>
      <c r="AR156" s="39"/>
      <c r="AS156" s="39"/>
      <c r="AT156" s="39"/>
      <c r="AU156" s="39"/>
      <c r="AV156" s="39"/>
      <c r="AW156" s="39"/>
      <c r="AX156" s="39"/>
      <c r="AY156" s="39"/>
    </row>
    <row r="157" spans="1:51" x14ac:dyDescent="0.25">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c r="AG157" s="39"/>
      <c r="AH157" s="39"/>
      <c r="AI157" s="39"/>
      <c r="AJ157" s="39"/>
      <c r="AK157" s="39"/>
      <c r="AL157" s="39"/>
      <c r="AM157" s="39"/>
      <c r="AN157" s="39"/>
      <c r="AO157" s="39"/>
      <c r="AP157" s="39"/>
      <c r="AQ157" s="39"/>
      <c r="AR157" s="39"/>
      <c r="AS157" s="39"/>
      <c r="AT157" s="39"/>
      <c r="AU157" s="39"/>
      <c r="AV157" s="39"/>
      <c r="AW157" s="39"/>
      <c r="AX157" s="39"/>
      <c r="AY157" s="39"/>
    </row>
    <row r="158" spans="1:51" x14ac:dyDescent="0.25">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c r="AL158" s="39"/>
      <c r="AM158" s="39"/>
      <c r="AN158" s="39"/>
      <c r="AO158" s="39"/>
      <c r="AP158" s="39"/>
      <c r="AQ158" s="39"/>
      <c r="AR158" s="39"/>
      <c r="AS158" s="39"/>
      <c r="AT158" s="39"/>
      <c r="AU158" s="39"/>
      <c r="AV158" s="39"/>
      <c r="AW158" s="39"/>
      <c r="AX158" s="39"/>
      <c r="AY158" s="39"/>
    </row>
    <row r="159" spans="1:51" x14ac:dyDescent="0.25">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39"/>
      <c r="AS159" s="39"/>
      <c r="AT159" s="39"/>
      <c r="AU159" s="39"/>
      <c r="AV159" s="39"/>
      <c r="AW159" s="39"/>
      <c r="AX159" s="39"/>
      <c r="AY159" s="39"/>
    </row>
    <row r="160" spans="1:51" x14ac:dyDescent="0.25">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9"/>
      <c r="AK160" s="39"/>
      <c r="AL160" s="39"/>
      <c r="AM160" s="39"/>
      <c r="AN160" s="39"/>
      <c r="AO160" s="39"/>
      <c r="AP160" s="39"/>
      <c r="AQ160" s="39"/>
      <c r="AR160" s="39"/>
      <c r="AS160" s="39"/>
      <c r="AT160" s="39"/>
      <c r="AU160" s="39"/>
      <c r="AV160" s="39"/>
      <c r="AW160" s="39"/>
      <c r="AX160" s="39"/>
      <c r="AY160" s="39"/>
    </row>
    <row r="161" spans="1:51" x14ac:dyDescent="0.25">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9"/>
      <c r="AN161" s="39"/>
      <c r="AO161" s="39"/>
      <c r="AP161" s="39"/>
      <c r="AQ161" s="39"/>
      <c r="AR161" s="39"/>
      <c r="AS161" s="39"/>
      <c r="AT161" s="39"/>
      <c r="AU161" s="39"/>
      <c r="AV161" s="39"/>
      <c r="AW161" s="39"/>
      <c r="AX161" s="39"/>
      <c r="AY161" s="39"/>
    </row>
    <row r="162" spans="1:51" x14ac:dyDescent="0.25">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c r="AM162" s="39"/>
      <c r="AN162" s="39"/>
      <c r="AO162" s="39"/>
      <c r="AP162" s="39"/>
      <c r="AQ162" s="39"/>
      <c r="AR162" s="39"/>
      <c r="AS162" s="39"/>
      <c r="AT162" s="39"/>
      <c r="AU162" s="39"/>
      <c r="AV162" s="39"/>
      <c r="AW162" s="39"/>
      <c r="AX162" s="39"/>
      <c r="AY162" s="39"/>
    </row>
    <row r="163" spans="1:51" x14ac:dyDescent="0.25">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9"/>
      <c r="AN163" s="39"/>
      <c r="AO163" s="39"/>
      <c r="AP163" s="39"/>
      <c r="AQ163" s="39"/>
      <c r="AR163" s="39"/>
      <c r="AS163" s="39"/>
      <c r="AT163" s="39"/>
      <c r="AU163" s="39"/>
      <c r="AV163" s="39"/>
      <c r="AW163" s="39"/>
      <c r="AX163" s="39"/>
      <c r="AY163" s="39"/>
    </row>
    <row r="164" spans="1:51" x14ac:dyDescent="0.25">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c r="AM164" s="39"/>
      <c r="AN164" s="39"/>
      <c r="AO164" s="39"/>
      <c r="AP164" s="39"/>
      <c r="AQ164" s="39"/>
      <c r="AR164" s="39"/>
      <c r="AS164" s="39"/>
      <c r="AT164" s="39"/>
      <c r="AU164" s="39"/>
      <c r="AV164" s="39"/>
      <c r="AW164" s="39"/>
      <c r="AX164" s="39"/>
      <c r="AY164" s="39"/>
    </row>
    <row r="165" spans="1:51" x14ac:dyDescent="0.25">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c r="AL165" s="39"/>
      <c r="AM165" s="39"/>
      <c r="AN165" s="39"/>
      <c r="AO165" s="39"/>
      <c r="AP165" s="39"/>
      <c r="AQ165" s="39"/>
      <c r="AR165" s="39"/>
      <c r="AS165" s="39"/>
      <c r="AT165" s="39"/>
      <c r="AU165" s="39"/>
      <c r="AV165" s="39"/>
      <c r="AW165" s="39"/>
      <c r="AX165" s="39"/>
      <c r="AY165" s="39"/>
    </row>
    <row r="166" spans="1:51" x14ac:dyDescent="0.25">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c r="AL166" s="39"/>
      <c r="AM166" s="39"/>
      <c r="AN166" s="39"/>
      <c r="AO166" s="39"/>
      <c r="AP166" s="39"/>
      <c r="AQ166" s="39"/>
      <c r="AR166" s="39"/>
      <c r="AS166" s="39"/>
      <c r="AT166" s="39"/>
      <c r="AU166" s="39"/>
      <c r="AV166" s="39"/>
      <c r="AW166" s="39"/>
      <c r="AX166" s="39"/>
      <c r="AY166" s="39"/>
    </row>
    <row r="167" spans="1:51" x14ac:dyDescent="0.25">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AL167" s="39"/>
      <c r="AM167" s="39"/>
      <c r="AN167" s="39"/>
      <c r="AO167" s="39"/>
      <c r="AP167" s="39"/>
      <c r="AQ167" s="39"/>
      <c r="AR167" s="39"/>
      <c r="AS167" s="39"/>
      <c r="AT167" s="39"/>
      <c r="AU167" s="39"/>
      <c r="AV167" s="39"/>
      <c r="AW167" s="39"/>
      <c r="AX167" s="39"/>
      <c r="AY167" s="39"/>
    </row>
    <row r="168" spans="1:51" x14ac:dyDescent="0.25">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9"/>
      <c r="AN168" s="39"/>
      <c r="AO168" s="39"/>
      <c r="AP168" s="39"/>
      <c r="AQ168" s="39"/>
      <c r="AR168" s="39"/>
      <c r="AS168" s="39"/>
      <c r="AT168" s="39"/>
      <c r="AU168" s="39"/>
      <c r="AV168" s="39"/>
      <c r="AW168" s="39"/>
      <c r="AX168" s="39"/>
      <c r="AY168" s="39"/>
    </row>
    <row r="169" spans="1:51" x14ac:dyDescent="0.25">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9"/>
      <c r="AN169" s="39"/>
      <c r="AO169" s="39"/>
      <c r="AP169" s="39"/>
      <c r="AQ169" s="39"/>
      <c r="AR169" s="39"/>
      <c r="AS169" s="39"/>
      <c r="AT169" s="39"/>
      <c r="AU169" s="39"/>
      <c r="AV169" s="39"/>
      <c r="AW169" s="39"/>
      <c r="AX169" s="39"/>
      <c r="AY169" s="39"/>
    </row>
    <row r="170" spans="1:51" x14ac:dyDescent="0.25">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c r="AY170" s="39"/>
    </row>
    <row r="171" spans="1:51" x14ac:dyDescent="0.25">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39"/>
      <c r="AW171" s="39"/>
      <c r="AX171" s="39"/>
      <c r="AY171" s="39"/>
    </row>
    <row r="172" spans="1:51" x14ac:dyDescent="0.25">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9"/>
      <c r="AN172" s="39"/>
      <c r="AO172" s="39"/>
      <c r="AP172" s="39"/>
      <c r="AQ172" s="39"/>
      <c r="AR172" s="39"/>
      <c r="AS172" s="39"/>
      <c r="AT172" s="39"/>
      <c r="AU172" s="39"/>
      <c r="AV172" s="39"/>
      <c r="AW172" s="39"/>
      <c r="AX172" s="39"/>
      <c r="AY172" s="39"/>
    </row>
    <row r="173" spans="1:51" x14ac:dyDescent="0.25">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39"/>
      <c r="AS173" s="39"/>
      <c r="AT173" s="39"/>
      <c r="AU173" s="39"/>
      <c r="AV173" s="39"/>
      <c r="AW173" s="39"/>
      <c r="AX173" s="39"/>
      <c r="AY173" s="39"/>
    </row>
    <row r="174" spans="1:51" x14ac:dyDescent="0.25">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39"/>
      <c r="AI174" s="39"/>
      <c r="AJ174" s="39"/>
      <c r="AK174" s="39"/>
      <c r="AL174" s="39"/>
      <c r="AM174" s="39"/>
      <c r="AN174" s="39"/>
      <c r="AO174" s="39"/>
      <c r="AP174" s="39"/>
      <c r="AQ174" s="39"/>
      <c r="AR174" s="39"/>
      <c r="AS174" s="39"/>
      <c r="AT174" s="39"/>
      <c r="AU174" s="39"/>
      <c r="AV174" s="39"/>
      <c r="AW174" s="39"/>
      <c r="AX174" s="39"/>
      <c r="AY174" s="39"/>
    </row>
    <row r="175" spans="1:51" x14ac:dyDescent="0.25">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39"/>
      <c r="AS175" s="39"/>
      <c r="AT175" s="39"/>
      <c r="AU175" s="39"/>
      <c r="AV175" s="39"/>
      <c r="AW175" s="39"/>
      <c r="AX175" s="39"/>
      <c r="AY175" s="39"/>
    </row>
    <row r="176" spans="1:51" x14ac:dyDescent="0.25">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39"/>
      <c r="AK176" s="39"/>
      <c r="AL176" s="39"/>
      <c r="AM176" s="39"/>
      <c r="AN176" s="39"/>
      <c r="AO176" s="39"/>
      <c r="AP176" s="39"/>
      <c r="AQ176" s="39"/>
      <c r="AR176" s="39"/>
      <c r="AS176" s="39"/>
      <c r="AT176" s="39"/>
      <c r="AU176" s="39"/>
      <c r="AV176" s="39"/>
      <c r="AW176" s="39"/>
      <c r="AX176" s="39"/>
      <c r="AY176" s="39"/>
    </row>
    <row r="177" spans="1:51" x14ac:dyDescent="0.25">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39"/>
      <c r="AL177" s="39"/>
      <c r="AM177" s="39"/>
      <c r="AN177" s="39"/>
      <c r="AO177" s="39"/>
      <c r="AP177" s="39"/>
      <c r="AQ177" s="39"/>
      <c r="AR177" s="39"/>
      <c r="AS177" s="39"/>
      <c r="AT177" s="39"/>
      <c r="AU177" s="39"/>
      <c r="AV177" s="39"/>
      <c r="AW177" s="39"/>
      <c r="AX177" s="39"/>
      <c r="AY177" s="39"/>
    </row>
    <row r="178" spans="1:51" x14ac:dyDescent="0.25">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39"/>
      <c r="AL178" s="39"/>
      <c r="AM178" s="39"/>
      <c r="AN178" s="39"/>
      <c r="AO178" s="39"/>
      <c r="AP178" s="39"/>
      <c r="AQ178" s="39"/>
      <c r="AR178" s="39"/>
      <c r="AS178" s="39"/>
      <c r="AT178" s="39"/>
      <c r="AU178" s="39"/>
      <c r="AV178" s="39"/>
      <c r="AW178" s="39"/>
      <c r="AX178" s="39"/>
      <c r="AY178" s="39"/>
    </row>
    <row r="179" spans="1:51" x14ac:dyDescent="0.25">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c r="AM179" s="39"/>
      <c r="AN179" s="39"/>
      <c r="AO179" s="39"/>
      <c r="AP179" s="39"/>
      <c r="AQ179" s="39"/>
      <c r="AR179" s="39"/>
      <c r="AS179" s="39"/>
      <c r="AT179" s="39"/>
      <c r="AU179" s="39"/>
      <c r="AV179" s="39"/>
      <c r="AW179" s="39"/>
      <c r="AX179" s="39"/>
      <c r="AY179" s="39"/>
    </row>
    <row r="180" spans="1:51" x14ac:dyDescent="0.25">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c r="AP180" s="39"/>
      <c r="AQ180" s="39"/>
      <c r="AR180" s="39"/>
      <c r="AS180" s="39"/>
      <c r="AT180" s="39"/>
      <c r="AU180" s="39"/>
      <c r="AV180" s="39"/>
      <c r="AW180" s="39"/>
      <c r="AX180" s="39"/>
      <c r="AY180" s="39"/>
    </row>
    <row r="181" spans="1:51" x14ac:dyDescent="0.25">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c r="AQ181" s="39"/>
      <c r="AR181" s="39"/>
      <c r="AS181" s="39"/>
      <c r="AT181" s="39"/>
      <c r="AU181" s="39"/>
      <c r="AV181" s="39"/>
      <c r="AW181" s="39"/>
      <c r="AX181" s="39"/>
      <c r="AY181" s="39"/>
    </row>
    <row r="182" spans="1:51" x14ac:dyDescent="0.25">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39"/>
      <c r="AS182" s="39"/>
      <c r="AT182" s="39"/>
      <c r="AU182" s="39"/>
      <c r="AV182" s="39"/>
      <c r="AW182" s="39"/>
      <c r="AX182" s="39"/>
      <c r="AY182" s="39"/>
    </row>
    <row r="183" spans="1:51" x14ac:dyDescent="0.25">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9"/>
      <c r="AN183" s="39"/>
      <c r="AO183" s="39"/>
      <c r="AP183" s="39"/>
      <c r="AQ183" s="39"/>
      <c r="AR183" s="39"/>
      <c r="AS183" s="39"/>
      <c r="AT183" s="39"/>
      <c r="AU183" s="39"/>
      <c r="AV183" s="39"/>
      <c r="AW183" s="39"/>
      <c r="AX183" s="39"/>
      <c r="AY183" s="39"/>
    </row>
    <row r="184" spans="1:51" x14ac:dyDescent="0.25">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9"/>
      <c r="AN184" s="39"/>
      <c r="AO184" s="39"/>
      <c r="AP184" s="39"/>
      <c r="AQ184" s="39"/>
      <c r="AR184" s="39"/>
      <c r="AS184" s="39"/>
      <c r="AT184" s="39"/>
      <c r="AU184" s="39"/>
      <c r="AV184" s="39"/>
      <c r="AW184" s="39"/>
      <c r="AX184" s="39"/>
      <c r="AY184" s="39"/>
    </row>
    <row r="185" spans="1:51" x14ac:dyDescent="0.25">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c r="AH185" s="39"/>
      <c r="AI185" s="39"/>
      <c r="AJ185" s="39"/>
      <c r="AK185" s="39"/>
      <c r="AL185" s="39"/>
      <c r="AM185" s="39"/>
      <c r="AN185" s="39"/>
      <c r="AO185" s="39"/>
      <c r="AP185" s="39"/>
      <c r="AQ185" s="39"/>
      <c r="AR185" s="39"/>
      <c r="AS185" s="39"/>
      <c r="AT185" s="39"/>
      <c r="AU185" s="39"/>
      <c r="AV185" s="39"/>
      <c r="AW185" s="39"/>
      <c r="AX185" s="39"/>
      <c r="AY185" s="39"/>
    </row>
    <row r="186" spans="1:51" x14ac:dyDescent="0.25">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c r="AM186" s="39"/>
      <c r="AN186" s="39"/>
      <c r="AO186" s="39"/>
      <c r="AP186" s="39"/>
      <c r="AQ186" s="39"/>
      <c r="AR186" s="39"/>
      <c r="AS186" s="39"/>
      <c r="AT186" s="39"/>
      <c r="AU186" s="39"/>
      <c r="AV186" s="39"/>
      <c r="AW186" s="39"/>
      <c r="AX186" s="39"/>
      <c r="AY186" s="39"/>
    </row>
    <row r="187" spans="1:51" x14ac:dyDescent="0.25">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c r="AH187" s="39"/>
      <c r="AI187" s="39"/>
      <c r="AJ187" s="39"/>
      <c r="AK187" s="39"/>
      <c r="AL187" s="39"/>
      <c r="AM187" s="39"/>
      <c r="AN187" s="39"/>
      <c r="AO187" s="39"/>
      <c r="AP187" s="39"/>
      <c r="AQ187" s="39"/>
      <c r="AR187" s="39"/>
      <c r="AS187" s="39"/>
      <c r="AT187" s="39"/>
      <c r="AU187" s="39"/>
      <c r="AV187" s="39"/>
      <c r="AW187" s="39"/>
      <c r="AX187" s="39"/>
      <c r="AY187" s="39"/>
    </row>
    <row r="188" spans="1:51" x14ac:dyDescent="0.25">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AL188" s="39"/>
      <c r="AM188" s="39"/>
      <c r="AN188" s="39"/>
      <c r="AO188" s="39"/>
      <c r="AP188" s="39"/>
      <c r="AQ188" s="39"/>
      <c r="AR188" s="39"/>
      <c r="AS188" s="39"/>
      <c r="AT188" s="39"/>
      <c r="AU188" s="39"/>
      <c r="AV188" s="39"/>
      <c r="AW188" s="39"/>
      <c r="AX188" s="39"/>
      <c r="AY188" s="39"/>
    </row>
    <row r="189" spans="1:51" x14ac:dyDescent="0.25">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39"/>
      <c r="AW189" s="39"/>
      <c r="AX189" s="39"/>
      <c r="AY189" s="39"/>
    </row>
    <row r="190" spans="1:51" x14ac:dyDescent="0.25">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39"/>
      <c r="AK190" s="39"/>
      <c r="AL190" s="39"/>
      <c r="AM190" s="39"/>
      <c r="AN190" s="39"/>
      <c r="AO190" s="39"/>
      <c r="AP190" s="39"/>
      <c r="AQ190" s="39"/>
      <c r="AR190" s="39"/>
      <c r="AS190" s="39"/>
      <c r="AT190" s="39"/>
      <c r="AU190" s="39"/>
      <c r="AV190" s="39"/>
      <c r="AW190" s="39"/>
      <c r="AX190" s="39"/>
      <c r="AY190" s="39"/>
    </row>
    <row r="191" spans="1:51" x14ac:dyDescent="0.25">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39"/>
      <c r="AS191" s="39"/>
      <c r="AT191" s="39"/>
      <c r="AU191" s="39"/>
      <c r="AV191" s="39"/>
      <c r="AW191" s="39"/>
      <c r="AX191" s="39"/>
      <c r="AY191" s="39"/>
    </row>
    <row r="192" spans="1:51" x14ac:dyDescent="0.25">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9"/>
      <c r="AI192" s="39"/>
      <c r="AJ192" s="39"/>
      <c r="AK192" s="39"/>
      <c r="AL192" s="39"/>
      <c r="AM192" s="39"/>
      <c r="AN192" s="39"/>
      <c r="AO192" s="39"/>
      <c r="AP192" s="39"/>
      <c r="AQ192" s="39"/>
      <c r="AR192" s="39"/>
      <c r="AS192" s="39"/>
      <c r="AT192" s="39"/>
      <c r="AU192" s="39"/>
      <c r="AV192" s="39"/>
      <c r="AW192" s="39"/>
      <c r="AX192" s="39"/>
      <c r="AY192" s="39"/>
    </row>
    <row r="193" spans="1:51" x14ac:dyDescent="0.25">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39"/>
      <c r="AJ193" s="39"/>
      <c r="AK193" s="39"/>
      <c r="AL193" s="39"/>
      <c r="AM193" s="39"/>
      <c r="AN193" s="39"/>
      <c r="AO193" s="39"/>
      <c r="AP193" s="39"/>
      <c r="AQ193" s="39"/>
      <c r="AR193" s="39"/>
      <c r="AS193" s="39"/>
      <c r="AT193" s="39"/>
      <c r="AU193" s="39"/>
      <c r="AV193" s="39"/>
      <c r="AW193" s="39"/>
      <c r="AX193" s="39"/>
      <c r="AY193" s="39"/>
    </row>
    <row r="194" spans="1:51" x14ac:dyDescent="0.25">
      <c r="A194" s="39"/>
      <c r="B194" s="39"/>
      <c r="C194" s="39"/>
      <c r="D194" s="39"/>
      <c r="E194" s="39"/>
      <c r="F194" s="39"/>
      <c r="G194" s="39"/>
      <c r="H194" s="39"/>
      <c r="I194" s="39"/>
      <c r="J194" s="39"/>
      <c r="K194" s="39"/>
    </row>
    <row r="195" spans="1:51" x14ac:dyDescent="0.25">
      <c r="A195" s="39"/>
      <c r="B195" s="39"/>
      <c r="C195" s="39"/>
      <c r="D195" s="39"/>
      <c r="E195" s="39"/>
      <c r="F195" s="39"/>
      <c r="G195" s="39"/>
      <c r="H195" s="39"/>
      <c r="I195" s="39"/>
      <c r="J195" s="39"/>
      <c r="K195" s="39"/>
    </row>
  </sheetData>
  <sheetProtection algorithmName="SHA-512" hashValue="GWd7taQ7YEH6wXP4Q+nnMr3CKiZvF/fl5K4ViwWTv0Db4RcixB9wcstv12Ic2WViy3v62rScapn0wdjorGc+xA==" saltValue="Qgkuxo5f9h+hd7gtGuqjqQ==" spinCount="100000" sheet="1" objects="1" scenarios="1" selectLockedCells="1"/>
  <mergeCells count="23">
    <mergeCell ref="B6:C6"/>
    <mergeCell ref="B7:C7"/>
    <mergeCell ref="B3:C3"/>
    <mergeCell ref="B4:C4"/>
    <mergeCell ref="H3:J3"/>
    <mergeCell ref="H4:J4"/>
    <mergeCell ref="H6:J6"/>
    <mergeCell ref="E58:F58"/>
    <mergeCell ref="E59:F59"/>
    <mergeCell ref="L3:R3"/>
    <mergeCell ref="L4:R4"/>
    <mergeCell ref="B9:I9"/>
    <mergeCell ref="B23:I23"/>
    <mergeCell ref="B50:I55"/>
    <mergeCell ref="B13:E13"/>
    <mergeCell ref="G13:H13"/>
    <mergeCell ref="O54:P54"/>
    <mergeCell ref="O55:P55"/>
    <mergeCell ref="E6:F6"/>
    <mergeCell ref="E7:F7"/>
    <mergeCell ref="H7:J7"/>
    <mergeCell ref="E3:F3"/>
    <mergeCell ref="E4:F4"/>
  </mergeCells>
  <dataValidations count="7">
    <dataValidation type="decimal" allowBlank="1" showErrorMessage="1" errorTitle="Fehler" error="Bitte nur Zahlen zwischen 0 und 100 eingeben!" sqref="H11:I11" xr:uid="{70A0D6A7-C4BA-4494-A18A-EBB4A9D367C3}">
      <formula1>0</formula1>
      <formula2>100</formula2>
    </dataValidation>
    <dataValidation type="whole" allowBlank="1" showErrorMessage="1" errorTitle="Fehler" error="Bitte nur ganze Zahlen zwischen 100 und 7_x000a_00 eingeben!" sqref="B11" xr:uid="{3194F41D-8C69-4D6E-A843-5AA110EDD21E}">
      <formula1>100</formula1>
      <formula2>700</formula2>
    </dataValidation>
    <dataValidation allowBlank="1" showErrorMessage="1" errorTitle="Fehler" error="Bitte nur &quot;Oberbeton OB&quot; oder &quot;Unterbeton UB&quot; eingeben!" sqref="H4 H7" xr:uid="{56E3EB73-82C6-4FB2-B0A3-C4265E60202A}"/>
    <dataValidation type="whole" allowBlank="1" showErrorMessage="1" errorTitle="Fehler" error="Bitte nur ganze Zahlen zwischen 0 und 3000 eingeben!" sqref="C11:G11" xr:uid="{D8D87581-E8F2-45B8-8CA2-761837E52DC4}">
      <formula1>0</formula1>
      <formula2>3000</formula2>
    </dataValidation>
    <dataValidation allowBlank="1" showErrorMessage="1" errorTitle="Fehler" error="Bitte nur ganze Zahlen zwischen 0 und 500 eingeben!" sqref="H15 H17 H19 H21" xr:uid="{DF5AC185-0D06-447E-807A-B47997E2C7A1}"/>
    <dataValidation type="whole" allowBlank="1" showErrorMessage="1" errorTitle="Fehler" error="Bitte nur ganze Zahlen zwischen 0 und 500 eingeben!" sqref="C15:E15 G15 C17:E17 G17 C19:E19 G19 C21:E21 G21" xr:uid="{E5A4C648-2D16-42C2-BA54-FFDE4AAC63E5}">
      <formula1>0</formula1>
      <formula2>500</formula2>
    </dataValidation>
    <dataValidation allowBlank="1" errorTitle="Fehler" error="Bitte nur &quot;Oberbeton OB&quot; oder &quot;Unterbeton UB&quot; eingeben!" sqref="E7:F7 E4" xr:uid="{6B8091CB-5BA5-432A-B2C5-1795E183E584}"/>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ErrorMessage="1" errorTitle="Fehler" error="Bitte nur &quot;stationär&quot; oder &quot;mobil&quot; eingeben!" xr:uid="{182B1147-8B39-4BA8-AD53-91D483B568B7}">
          <x14:formula1>
            <xm:f>Berechnung!$B$59:$B$60</xm:f>
          </x14:formula1>
          <xm:sqref>J15</xm:sqref>
        </x14:dataValidation>
        <x14:dataValidation type="list" allowBlank="1" showErrorMessage="1" errorTitle="Fehler" error="Bitte nur Zementsorte aus der Liste auswählen!" xr:uid="{C2EEC277-241A-420F-96C3-FD2920D8B6C2}">
          <x14:formula1>
            <xm:f>Berechnung!$AJ$57:$AJ$59</xm:f>
          </x14:formula1>
          <xm:sqref>B7</xm:sqref>
        </x14:dataValidation>
        <x14:dataValidation type="date" allowBlank="1" showErrorMessage="1" errorTitle="Fehler" error="Bitte ein Datum zwischen 01.01.2024 und 31.12.2034 wählen!" xr:uid="{05D0522E-6B85-4F33-80FF-271C1001C73D}">
          <x14:formula1>
            <xm:f>Berechnung!C44</xm:f>
          </x14:formula1>
          <x14:formula2>
            <xm:f>Berechnung!C45</xm:f>
          </x14:formula2>
          <xm:sqref>B4:C4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954FB-D4AD-44F8-80B6-8C7D5E73AB8E}">
  <sheetPr codeName="Tabelle2"/>
  <dimension ref="A1:BO162"/>
  <sheetViews>
    <sheetView topLeftCell="A21" zoomScale="70" zoomScaleNormal="70" workbookViewId="0">
      <selection activeCell="B7" sqref="B7"/>
    </sheetView>
  </sheetViews>
  <sheetFormatPr baseColWidth="10" defaultColWidth="11.44140625" defaultRowHeight="13.2" x14ac:dyDescent="0.25"/>
  <cols>
    <col min="1" max="1" width="26.88671875" style="2" customWidth="1"/>
    <col min="2" max="4" width="15.6640625" style="2" customWidth="1"/>
    <col min="5" max="16384" width="11.44140625" style="2"/>
  </cols>
  <sheetData>
    <row r="1" spans="1:67" ht="32.4" x14ac:dyDescent="0.25">
      <c r="Y1" s="29"/>
      <c r="Z1" s="101" t="s">
        <v>86</v>
      </c>
      <c r="AA1" s="101"/>
      <c r="AB1" s="101"/>
      <c r="AC1" s="101"/>
      <c r="AD1" s="101"/>
      <c r="AE1" s="101"/>
      <c r="AF1" s="101"/>
      <c r="AG1" s="101"/>
      <c r="AH1" s="101"/>
      <c r="AI1" s="101"/>
      <c r="AJ1" s="29"/>
      <c r="AK1" s="101" t="s">
        <v>87</v>
      </c>
      <c r="AL1" s="101"/>
      <c r="AM1" s="101"/>
      <c r="AN1" s="101"/>
      <c r="AO1" s="101"/>
      <c r="AP1" s="101"/>
      <c r="AQ1" s="101"/>
      <c r="AR1" s="101"/>
      <c r="AS1" s="101" t="s">
        <v>88</v>
      </c>
      <c r="AT1" s="101"/>
      <c r="AU1" s="101"/>
      <c r="AV1" s="29"/>
      <c r="AW1" s="101" t="s">
        <v>89</v>
      </c>
      <c r="AX1" s="101"/>
      <c r="AY1" s="101"/>
      <c r="AZ1" s="33"/>
      <c r="BA1" s="101" t="s">
        <v>90</v>
      </c>
      <c r="BB1" s="101"/>
      <c r="BC1" s="101"/>
      <c r="BD1" s="101" t="s">
        <v>154</v>
      </c>
      <c r="BE1" s="101"/>
      <c r="BF1" s="101"/>
      <c r="BH1" s="137" t="s">
        <v>159</v>
      </c>
      <c r="BI1" s="137"/>
      <c r="BK1" s="137" t="s">
        <v>84</v>
      </c>
      <c r="BL1" s="137"/>
      <c r="BN1" s="137" t="s">
        <v>91</v>
      </c>
      <c r="BO1" s="137"/>
    </row>
    <row r="2" spans="1:67" x14ac:dyDescent="0.25">
      <c r="G2" s="76" t="s">
        <v>179</v>
      </c>
      <c r="Y2" s="29"/>
      <c r="Z2" s="2" t="s">
        <v>45</v>
      </c>
      <c r="AA2" s="2" t="s">
        <v>45</v>
      </c>
      <c r="AB2" s="2" t="s">
        <v>45</v>
      </c>
      <c r="AC2" s="2" t="s">
        <v>45</v>
      </c>
      <c r="AD2" s="2" t="s">
        <v>45</v>
      </c>
      <c r="AE2" s="2" t="s">
        <v>45</v>
      </c>
      <c r="AG2" s="2" t="s">
        <v>45</v>
      </c>
      <c r="AH2" s="2" t="s">
        <v>45</v>
      </c>
      <c r="AI2" s="2" t="s">
        <v>45</v>
      </c>
      <c r="AJ2" s="29"/>
      <c r="AK2" s="2" t="s">
        <v>45</v>
      </c>
      <c r="AL2" s="2" t="s">
        <v>45</v>
      </c>
      <c r="AM2" s="2" t="s">
        <v>45</v>
      </c>
      <c r="AN2" s="2" t="s">
        <v>45</v>
      </c>
      <c r="AO2" s="2" t="s">
        <v>45</v>
      </c>
      <c r="AP2" s="2" t="s">
        <v>45</v>
      </c>
      <c r="AQ2" s="2" t="s">
        <v>45</v>
      </c>
      <c r="AR2" s="2" t="s">
        <v>45</v>
      </c>
      <c r="AS2" s="29"/>
      <c r="AT2" s="2" t="s">
        <v>45</v>
      </c>
      <c r="AU2" s="29"/>
      <c r="AV2" s="11"/>
      <c r="AW2" s="29"/>
      <c r="AX2" s="2" t="s">
        <v>45</v>
      </c>
      <c r="AY2" s="29"/>
      <c r="AZ2" s="11"/>
      <c r="BA2" s="29"/>
      <c r="BB2" s="2" t="s">
        <v>45</v>
      </c>
      <c r="BC2" s="29"/>
      <c r="BD2" s="29"/>
      <c r="BE2" s="2" t="s">
        <v>45</v>
      </c>
      <c r="BF2" s="29"/>
      <c r="BH2" s="2" t="s">
        <v>45</v>
      </c>
      <c r="BI2" s="2" t="s">
        <v>45</v>
      </c>
      <c r="BK2" s="2" t="s">
        <v>45</v>
      </c>
      <c r="BL2" s="2" t="s">
        <v>45</v>
      </c>
      <c r="BN2" s="2" t="s">
        <v>45</v>
      </c>
      <c r="BO2" s="2" t="s">
        <v>45</v>
      </c>
    </row>
    <row r="3" spans="1:67" x14ac:dyDescent="0.25">
      <c r="F3" s="2" t="str">
        <f>"RB "&amp;G3</f>
        <v>RB 44</v>
      </c>
      <c r="G3" s="2">
        <f>ROUND(H3,0)</f>
        <v>44</v>
      </c>
      <c r="H3" s="88">
        <f>U4/(U4+K4+H4)*100</f>
        <v>44.321329639889193</v>
      </c>
      <c r="I3" s="89">
        <v>0</v>
      </c>
      <c r="J3" s="90"/>
      <c r="K3" s="99"/>
      <c r="L3" s="89">
        <v>0</v>
      </c>
      <c r="M3" s="90"/>
      <c r="R3" s="99"/>
      <c r="S3" s="89">
        <v>0</v>
      </c>
      <c r="T3" s="90"/>
      <c r="U3" s="99"/>
      <c r="V3" s="89">
        <v>0</v>
      </c>
      <c r="W3" s="90"/>
      <c r="Y3" s="29"/>
      <c r="AI3" s="2" t="s">
        <v>78</v>
      </c>
      <c r="AJ3" s="29"/>
      <c r="AK3" s="2" t="s">
        <v>73</v>
      </c>
      <c r="AL3" s="2" t="s">
        <v>73</v>
      </c>
      <c r="AM3" s="2" t="s">
        <v>73</v>
      </c>
      <c r="AN3" s="2" t="s">
        <v>73</v>
      </c>
      <c r="AO3" s="2" t="s">
        <v>73</v>
      </c>
      <c r="AP3" s="2" t="s">
        <v>73</v>
      </c>
      <c r="AQ3" s="2" t="s">
        <v>73</v>
      </c>
      <c r="AS3" s="29"/>
      <c r="AU3" s="29"/>
      <c r="AV3" s="11"/>
      <c r="AW3" s="29"/>
      <c r="AX3" s="2" t="s">
        <v>73</v>
      </c>
      <c r="AY3" s="29"/>
      <c r="AZ3" s="11"/>
      <c r="BA3" s="29"/>
      <c r="BB3" s="2" t="s">
        <v>57</v>
      </c>
      <c r="BC3" s="29"/>
      <c r="BD3" s="29"/>
      <c r="BE3" s="2" t="s">
        <v>73</v>
      </c>
      <c r="BF3" s="29"/>
    </row>
    <row r="4" spans="1:67" x14ac:dyDescent="0.25">
      <c r="F4" s="25" t="s">
        <v>4</v>
      </c>
      <c r="G4" s="25">
        <f>Eingabemaske!B11</f>
        <v>350</v>
      </c>
      <c r="H4" s="91">
        <f>Eingabemaske!C11</f>
        <v>605</v>
      </c>
      <c r="I4" s="92" t="s">
        <v>195</v>
      </c>
      <c r="J4" s="93">
        <f>H4*(1+I3)</f>
        <v>605</v>
      </c>
      <c r="K4" s="91">
        <f>Eingabemaske!D11</f>
        <v>400</v>
      </c>
      <c r="L4" s="92" t="s">
        <v>195</v>
      </c>
      <c r="M4" s="93">
        <f>K4*(1+L3)</f>
        <v>400</v>
      </c>
      <c r="N4" s="25">
        <f>Eingabemaske!G11</f>
        <v>150</v>
      </c>
      <c r="O4" s="2" t="e">
        <f>N4-(H4*I4)</f>
        <v>#VALUE!</v>
      </c>
      <c r="P4" s="25">
        <f>Eingabemaske!H11</f>
        <v>0.6</v>
      </c>
      <c r="Q4" s="25">
        <f>Eingabemaske!I11</f>
        <v>0.1</v>
      </c>
      <c r="R4" s="91">
        <f>Eingabemaske!E11</f>
        <v>110</v>
      </c>
      <c r="S4" s="92" t="s">
        <v>195</v>
      </c>
      <c r="T4" s="93">
        <f>R4*(1+S3)</f>
        <v>110</v>
      </c>
      <c r="U4" s="91">
        <f>Eingabemaske!F11</f>
        <v>800</v>
      </c>
      <c r="V4" s="92" t="s">
        <v>195</v>
      </c>
      <c r="W4" s="93">
        <f>U4*(1+V3)</f>
        <v>800</v>
      </c>
      <c r="X4" s="3"/>
      <c r="Y4" s="29"/>
      <c r="AI4" s="3">
        <f>Berechnung!X6/1000</f>
        <v>2.4156999999999997</v>
      </c>
      <c r="AJ4" s="29"/>
      <c r="AK4" s="25">
        <f>Eingabemaske!C15</f>
        <v>100</v>
      </c>
      <c r="AL4" s="25">
        <f>Eingabemaske!D15</f>
        <v>50</v>
      </c>
      <c r="AM4" s="25">
        <f>Eingabemaske!E15</f>
        <v>50</v>
      </c>
      <c r="AN4" s="102">
        <v>0</v>
      </c>
      <c r="AO4" s="102">
        <v>0</v>
      </c>
      <c r="AP4" s="25">
        <f>Eingabemaske!G15</f>
        <v>25</v>
      </c>
      <c r="AQ4" s="25">
        <f>Eingabemaske!G15</f>
        <v>25</v>
      </c>
      <c r="AS4" s="29"/>
      <c r="AT4" s="26" t="str">
        <f>Eingabemaske!J15</f>
        <v>stationär</v>
      </c>
      <c r="AU4" s="29"/>
      <c r="AV4" s="11"/>
      <c r="AW4" s="29"/>
      <c r="AX4" s="25">
        <f>Eingabemaske!G15</f>
        <v>25</v>
      </c>
      <c r="AY4" s="29"/>
      <c r="AZ4" s="11"/>
      <c r="BA4" s="29"/>
      <c r="BB4" s="3">
        <f>F37</f>
        <v>0.73333333333333328</v>
      </c>
      <c r="BC4" s="29"/>
      <c r="BD4" s="29"/>
      <c r="BE4" s="25">
        <f>Eingabemaske!H15</f>
        <v>25</v>
      </c>
      <c r="BF4" s="29"/>
    </row>
    <row r="5" spans="1:67" s="4" customFormat="1" ht="39.6" x14ac:dyDescent="0.25">
      <c r="B5" s="30" t="s">
        <v>11</v>
      </c>
      <c r="C5" s="30" t="s">
        <v>46</v>
      </c>
      <c r="G5" s="4" t="s">
        <v>0</v>
      </c>
      <c r="H5" s="94" t="s">
        <v>98</v>
      </c>
      <c r="I5" s="4" t="s">
        <v>3</v>
      </c>
      <c r="J5" s="95" t="s">
        <v>99</v>
      </c>
      <c r="K5" s="94" t="s">
        <v>100</v>
      </c>
      <c r="L5" s="4" t="s">
        <v>13</v>
      </c>
      <c r="M5" s="95" t="s">
        <v>101</v>
      </c>
      <c r="N5" s="4" t="s">
        <v>6</v>
      </c>
      <c r="O5" s="4" t="s">
        <v>15</v>
      </c>
      <c r="P5" s="4" t="s">
        <v>7</v>
      </c>
      <c r="Q5" s="4" t="s">
        <v>2</v>
      </c>
      <c r="R5" s="94" t="s">
        <v>194</v>
      </c>
      <c r="S5" s="4" t="s">
        <v>17</v>
      </c>
      <c r="T5" s="95" t="s">
        <v>196</v>
      </c>
      <c r="U5" s="94" t="s">
        <v>102</v>
      </c>
      <c r="V5" s="4" t="s">
        <v>17</v>
      </c>
      <c r="W5" s="95" t="s">
        <v>103</v>
      </c>
      <c r="X5" s="4" t="s">
        <v>18</v>
      </c>
      <c r="Y5" s="30"/>
      <c r="Z5" s="4" t="s">
        <v>0</v>
      </c>
      <c r="AA5" s="4" t="s">
        <v>98</v>
      </c>
      <c r="AB5" s="4" t="s">
        <v>100</v>
      </c>
      <c r="AC5" s="4" t="s">
        <v>15</v>
      </c>
      <c r="AD5" s="4" t="s">
        <v>7</v>
      </c>
      <c r="AE5" s="4" t="s">
        <v>2</v>
      </c>
      <c r="AF5" s="4" t="s">
        <v>194</v>
      </c>
      <c r="AG5" s="4" t="s">
        <v>102</v>
      </c>
      <c r="AH5" s="4" t="s">
        <v>12</v>
      </c>
      <c r="AI5" s="4" t="s">
        <v>19</v>
      </c>
      <c r="AJ5" s="30"/>
      <c r="AK5" s="4" t="s">
        <v>0</v>
      </c>
      <c r="AL5" s="4" t="s">
        <v>99</v>
      </c>
      <c r="AM5" s="4" t="s">
        <v>101</v>
      </c>
      <c r="AN5" s="4" t="s">
        <v>7</v>
      </c>
      <c r="AO5" s="4" t="s">
        <v>2</v>
      </c>
      <c r="AP5" s="4" t="s">
        <v>196</v>
      </c>
      <c r="AQ5" s="4" t="s">
        <v>103</v>
      </c>
      <c r="AR5" s="4" t="s">
        <v>75</v>
      </c>
      <c r="AS5" s="30"/>
      <c r="AT5" s="4" t="s">
        <v>72</v>
      </c>
      <c r="AU5" s="30"/>
      <c r="AV5" s="8"/>
      <c r="AW5" s="30"/>
      <c r="AX5" s="4" t="s">
        <v>74</v>
      </c>
      <c r="AY5" s="30"/>
      <c r="AZ5" s="8"/>
      <c r="BA5" s="30"/>
      <c r="BB5" s="4" t="s">
        <v>48</v>
      </c>
      <c r="BC5" s="30"/>
      <c r="BD5" s="30"/>
      <c r="BE5" s="4" t="s">
        <v>74</v>
      </c>
      <c r="BF5" s="30"/>
      <c r="BH5" s="9" t="s">
        <v>12</v>
      </c>
      <c r="BI5" s="9" t="s">
        <v>19</v>
      </c>
      <c r="BK5" s="9" t="s">
        <v>12</v>
      </c>
      <c r="BL5" s="9" t="s">
        <v>19</v>
      </c>
      <c r="BN5" s="9" t="s">
        <v>12</v>
      </c>
      <c r="BO5" s="9" t="s">
        <v>19</v>
      </c>
    </row>
    <row r="6" spans="1:67" x14ac:dyDescent="0.25">
      <c r="A6" s="29" t="s">
        <v>0</v>
      </c>
      <c r="B6" s="77">
        <f>VLOOKUP(D6,AJ57:AK59,2,FALSE)/1000</f>
        <v>0.40468340000000003</v>
      </c>
      <c r="C6" s="3">
        <f>B6*1000</f>
        <v>404.68340000000001</v>
      </c>
      <c r="D6" s="104" t="str">
        <f>Eingabemaske!B7</f>
        <v>CEM II/B-M (S-...) 42,5/52,5 N/R</v>
      </c>
      <c r="E6" s="2">
        <f>G3</f>
        <v>44</v>
      </c>
      <c r="F6" s="2" t="str">
        <f>F3</f>
        <v>RB 44</v>
      </c>
      <c r="G6" s="3">
        <f>G4</f>
        <v>350</v>
      </c>
      <c r="H6" s="96">
        <f>H4</f>
        <v>605</v>
      </c>
      <c r="I6" s="97">
        <f>H4*I3</f>
        <v>0</v>
      </c>
      <c r="J6" s="98">
        <f>J4</f>
        <v>605</v>
      </c>
      <c r="K6" s="96">
        <f>K4</f>
        <v>400</v>
      </c>
      <c r="L6" s="100">
        <f>K4*L3</f>
        <v>0</v>
      </c>
      <c r="M6" s="98">
        <f>M4</f>
        <v>400</v>
      </c>
      <c r="N6" s="3">
        <f>N4</f>
        <v>150</v>
      </c>
      <c r="O6" s="3">
        <f>N6-(I6+L6+V6)</f>
        <v>150</v>
      </c>
      <c r="P6" s="3">
        <f>P4</f>
        <v>0.6</v>
      </c>
      <c r="Q6" s="3">
        <f t="shared" ref="Q6" si="0">Q4</f>
        <v>0.1</v>
      </c>
      <c r="R6" s="96">
        <f>R4</f>
        <v>110</v>
      </c>
      <c r="S6" s="100">
        <f>R6*S3</f>
        <v>0</v>
      </c>
      <c r="T6" s="98">
        <f>T4</f>
        <v>110</v>
      </c>
      <c r="U6" s="96">
        <f>U4</f>
        <v>800</v>
      </c>
      <c r="V6" s="100">
        <f>U6*V3</f>
        <v>0</v>
      </c>
      <c r="W6" s="98">
        <f>W4</f>
        <v>800</v>
      </c>
      <c r="X6" s="3">
        <f>G6+J6+M6+O6+P6+Q6+W6+T6</f>
        <v>2415.6999999999998</v>
      </c>
      <c r="Y6" s="31"/>
      <c r="Z6" s="35">
        <f>G6*$B$6</f>
        <v>141.63919000000001</v>
      </c>
      <c r="AA6" s="35">
        <f>H6*$B$7</f>
        <v>1.1495</v>
      </c>
      <c r="AB6" s="35">
        <f>K6*$B$8</f>
        <v>0.96</v>
      </c>
      <c r="AC6" s="35">
        <f>O6*$B$9</f>
        <v>1.7100000000000001E-2</v>
      </c>
      <c r="AD6" s="35">
        <f>P6*$B$10</f>
        <v>0.26339999999999997</v>
      </c>
      <c r="AE6" s="35">
        <f>Q6*$B$11</f>
        <v>0.13400000000000001</v>
      </c>
      <c r="AF6" s="35">
        <f>R6*$B$13</f>
        <v>0.18755000000000002</v>
      </c>
      <c r="AG6" s="35">
        <f>U6*$B$13</f>
        <v>1.3640000000000001</v>
      </c>
      <c r="AH6" s="24">
        <f>SUM(Z6:AG6)</f>
        <v>145.71473999999998</v>
      </c>
      <c r="AI6" s="3">
        <f>AH6/$AI$4</f>
        <v>60.319882435732914</v>
      </c>
      <c r="AJ6" s="29"/>
      <c r="AK6" s="3"/>
      <c r="AL6" s="3"/>
      <c r="AM6" s="3"/>
      <c r="AN6" s="3"/>
      <c r="AO6" s="3"/>
      <c r="AP6" s="3"/>
      <c r="AQ6" s="3"/>
      <c r="AR6" s="35">
        <f>AS18</f>
        <v>8.1388799999999986</v>
      </c>
      <c r="AS6" s="29"/>
      <c r="AT6" s="35">
        <f>B33</f>
        <v>0.34499999999999997</v>
      </c>
      <c r="AU6" s="29"/>
      <c r="AV6" s="11"/>
      <c r="AW6" s="29"/>
      <c r="AX6" s="35">
        <f>AX18</f>
        <v>4.5511787999999997</v>
      </c>
      <c r="AY6" s="29"/>
      <c r="AZ6" s="11"/>
      <c r="BA6" s="29"/>
      <c r="BB6" s="35">
        <f>B39</f>
        <v>2.2733333333333334</v>
      </c>
      <c r="BC6" s="29"/>
      <c r="BD6" s="29"/>
      <c r="BE6" s="35">
        <f>BE18</f>
        <v>4.5511787999999997</v>
      </c>
      <c r="BF6" s="29"/>
      <c r="BH6" s="10">
        <f>BB6+BE6</f>
        <v>6.8245121333333332</v>
      </c>
      <c r="BI6" s="10">
        <f>BH6/$AI$4</f>
        <v>2.8250660816050561</v>
      </c>
      <c r="BK6" s="10">
        <f>AH6+AT6+AR6</f>
        <v>154.19861999999998</v>
      </c>
      <c r="BL6" s="10">
        <f>BK6/$AI$4</f>
        <v>63.831858260545594</v>
      </c>
      <c r="BN6" s="10">
        <f>AH6+AT6+AR6+AX6</f>
        <v>158.74979879999998</v>
      </c>
      <c r="BO6" s="10">
        <f>BN6/$AI$4</f>
        <v>65.715858260545602</v>
      </c>
    </row>
    <row r="7" spans="1:67" x14ac:dyDescent="0.25">
      <c r="A7" s="29" t="s">
        <v>8</v>
      </c>
      <c r="B7" s="22">
        <v>1.9E-3</v>
      </c>
      <c r="C7" s="3">
        <f t="shared" ref="C7:C12" si="1">B7*1000</f>
        <v>1.9</v>
      </c>
      <c r="D7" s="21"/>
      <c r="Y7" s="29"/>
      <c r="Z7" s="29"/>
      <c r="AA7" s="29"/>
      <c r="AB7" s="29"/>
      <c r="AC7" s="29"/>
      <c r="AD7" s="29"/>
      <c r="AE7" s="29"/>
      <c r="AF7" s="29"/>
      <c r="AG7" s="29"/>
      <c r="AH7" s="31">
        <f>Z6/AH6*100</f>
        <v>97.203062641432183</v>
      </c>
      <c r="AI7" s="32" t="s">
        <v>117</v>
      </c>
      <c r="AJ7" s="29"/>
      <c r="AK7" s="29"/>
      <c r="AL7" s="29"/>
      <c r="AM7" s="29"/>
      <c r="AN7" s="29"/>
      <c r="AO7" s="29"/>
      <c r="AP7" s="29"/>
      <c r="AQ7" s="29"/>
      <c r="AR7" s="29"/>
      <c r="AS7" s="29"/>
      <c r="AT7" s="29"/>
      <c r="AU7" s="29"/>
      <c r="AV7" s="29"/>
      <c r="AW7" s="29"/>
      <c r="AX7" s="29"/>
      <c r="AY7" s="29"/>
      <c r="AZ7" s="29"/>
      <c r="BA7" s="29"/>
      <c r="BB7" s="29"/>
      <c r="BC7" s="29"/>
      <c r="BD7" s="29"/>
      <c r="BE7" s="29"/>
      <c r="BF7" s="29"/>
    </row>
    <row r="8" spans="1:67" x14ac:dyDescent="0.25">
      <c r="A8" s="29" t="s">
        <v>9</v>
      </c>
      <c r="B8" s="22">
        <v>2.3999999999999998E-3</v>
      </c>
      <c r="C8" s="3">
        <f t="shared" si="1"/>
        <v>2.4</v>
      </c>
      <c r="D8" s="21"/>
      <c r="F8" s="12"/>
      <c r="R8" s="2" t="s">
        <v>200</v>
      </c>
      <c r="X8" s="3"/>
      <c r="Z8" s="12" t="s">
        <v>96</v>
      </c>
    </row>
    <row r="9" spans="1:67" x14ac:dyDescent="0.25">
      <c r="A9" s="29" t="s">
        <v>10</v>
      </c>
      <c r="B9" s="22">
        <v>1.1400000000000001E-4</v>
      </c>
      <c r="C9" s="3">
        <f t="shared" si="1"/>
        <v>0.114</v>
      </c>
      <c r="D9" s="21"/>
      <c r="R9" s="3">
        <f>R6+H6</f>
        <v>715</v>
      </c>
      <c r="Z9" s="2" t="s">
        <v>92</v>
      </c>
      <c r="AA9" s="2" t="s">
        <v>93</v>
      </c>
      <c r="AB9" s="2" t="s">
        <v>94</v>
      </c>
      <c r="AC9" s="13" t="s">
        <v>84</v>
      </c>
      <c r="AD9" s="2" t="s">
        <v>95</v>
      </c>
      <c r="AE9" s="13" t="s">
        <v>91</v>
      </c>
      <c r="AH9" s="35">
        <f>SUM(Z6:AG6)</f>
        <v>145.71473999999998</v>
      </c>
      <c r="AI9" s="12" t="s">
        <v>158</v>
      </c>
      <c r="AK9" s="2">
        <f>Eingabemaske!C15</f>
        <v>100</v>
      </c>
      <c r="AL9" s="2">
        <f>Eingabemaske!D15</f>
        <v>50</v>
      </c>
      <c r="AM9" s="2">
        <f>Eingabemaske!E15</f>
        <v>50</v>
      </c>
      <c r="AN9" s="108">
        <v>0</v>
      </c>
      <c r="AO9" s="108">
        <v>0</v>
      </c>
      <c r="AP9" s="2">
        <f>Eingabemaske!H15</f>
        <v>25</v>
      </c>
      <c r="AQ9" s="2">
        <f>Eingabemaske!H15</f>
        <v>25</v>
      </c>
      <c r="AR9" s="12" t="s">
        <v>262</v>
      </c>
      <c r="AX9" s="2">
        <f>Eingabemaske!G15</f>
        <v>25</v>
      </c>
      <c r="AY9" s="12" t="s">
        <v>262</v>
      </c>
      <c r="BB9" s="2" t="s">
        <v>143</v>
      </c>
      <c r="BE9" s="2">
        <f>Eingabemaske!H15</f>
        <v>25</v>
      </c>
      <c r="BF9" s="12" t="s">
        <v>262</v>
      </c>
    </row>
    <row r="10" spans="1:67" x14ac:dyDescent="0.25">
      <c r="A10" s="29" t="s">
        <v>1</v>
      </c>
      <c r="B10" s="22">
        <v>0.439</v>
      </c>
      <c r="C10" s="3">
        <f t="shared" si="1"/>
        <v>439</v>
      </c>
      <c r="D10" s="21" t="s">
        <v>276</v>
      </c>
      <c r="F10" s="7"/>
      <c r="G10" s="16"/>
      <c r="H10" s="16"/>
      <c r="I10" s="17"/>
      <c r="J10" s="17"/>
      <c r="K10" s="3"/>
      <c r="L10" s="3"/>
      <c r="M10" s="17"/>
      <c r="R10" s="2" t="s">
        <v>201</v>
      </c>
      <c r="Z10" s="2" t="s">
        <v>85</v>
      </c>
      <c r="AA10" s="2" t="s">
        <v>81</v>
      </c>
      <c r="AB10" s="2" t="s">
        <v>80</v>
      </c>
      <c r="AC10" s="13" t="s">
        <v>55</v>
      </c>
      <c r="AD10" s="2" t="s">
        <v>81</v>
      </c>
      <c r="AE10" s="13" t="s">
        <v>55</v>
      </c>
      <c r="AH10" s="35">
        <f>SUM(Z6:AG6)+BH6</f>
        <v>152.53925213333332</v>
      </c>
      <c r="AI10" s="12" t="s">
        <v>157</v>
      </c>
      <c r="AK10" s="2">
        <f>Eingabemaske!C17</f>
        <v>0</v>
      </c>
      <c r="AL10" s="2">
        <f>Eingabemaske!D17</f>
        <v>0</v>
      </c>
      <c r="AM10" s="2">
        <f>Eingabemaske!E17</f>
        <v>0</v>
      </c>
      <c r="AN10" s="108">
        <v>0</v>
      </c>
      <c r="AO10" s="108">
        <v>0</v>
      </c>
      <c r="AP10" s="2">
        <f>Eingabemaske!H17</f>
        <v>0</v>
      </c>
      <c r="AQ10" s="2">
        <f>Eingabemaske!H17</f>
        <v>0</v>
      </c>
      <c r="AR10" s="12" t="s">
        <v>263</v>
      </c>
      <c r="AX10" s="2">
        <f>Eingabemaske!G17</f>
        <v>0</v>
      </c>
      <c r="AY10" s="12" t="s">
        <v>263</v>
      </c>
      <c r="BB10" s="3">
        <f>X6-U6</f>
        <v>1615.6999999999998</v>
      </c>
      <c r="BC10" s="12" t="s">
        <v>144</v>
      </c>
      <c r="BE10" s="2">
        <f>Eingabemaske!H17</f>
        <v>0</v>
      </c>
      <c r="BF10" s="12" t="s">
        <v>263</v>
      </c>
    </row>
    <row r="11" spans="1:67" x14ac:dyDescent="0.25">
      <c r="A11" s="29" t="s">
        <v>2</v>
      </c>
      <c r="B11" s="22">
        <v>1.34</v>
      </c>
      <c r="C11" s="3">
        <f t="shared" si="1"/>
        <v>1340</v>
      </c>
      <c r="D11" s="21" t="s">
        <v>277</v>
      </c>
      <c r="R11" s="15">
        <f>ROUND(R6/R9*100,1)</f>
        <v>15.4</v>
      </c>
      <c r="Z11" s="15">
        <f>AH6</f>
        <v>145.71473999999998</v>
      </c>
      <c r="AA11" s="15">
        <f>AR6</f>
        <v>8.1388799999999986</v>
      </c>
      <c r="AB11" s="15">
        <f>AT6</f>
        <v>0.34499999999999997</v>
      </c>
      <c r="AC11" s="18">
        <f>SUM(Z11:AB11)</f>
        <v>154.19861999999998</v>
      </c>
      <c r="AD11" s="15">
        <f>AX6</f>
        <v>4.5511787999999997</v>
      </c>
      <c r="AE11" s="18">
        <f>AC11+AD11</f>
        <v>158.74979879999998</v>
      </c>
      <c r="AG11" s="14">
        <f>Z11/AE11</f>
        <v>0.91788928931858271</v>
      </c>
      <c r="AK11" s="2">
        <f>Eingabemaske!C19</f>
        <v>0</v>
      </c>
      <c r="AL11" s="2">
        <f>Eingabemaske!D19</f>
        <v>0</v>
      </c>
      <c r="AM11" s="2">
        <f>Eingabemaske!E19</f>
        <v>0</v>
      </c>
      <c r="AN11" s="108">
        <v>0</v>
      </c>
      <c r="AO11" s="108">
        <v>0</v>
      </c>
      <c r="AP11" s="2">
        <f>Eingabemaske!H19</f>
        <v>0</v>
      </c>
      <c r="AQ11" s="2">
        <f>Eingabemaske!H19</f>
        <v>0</v>
      </c>
      <c r="AR11" s="12" t="s">
        <v>264</v>
      </c>
      <c r="AX11" s="2">
        <f>Eingabemaske!G19</f>
        <v>0</v>
      </c>
      <c r="AY11" s="12" t="s">
        <v>264</v>
      </c>
      <c r="BB11" s="3">
        <f>BB10/1000*C39</f>
        <v>1.5304269444444445</v>
      </c>
      <c r="BC11" s="12" t="s">
        <v>145</v>
      </c>
      <c r="BE11" s="2">
        <f>Eingabemaske!H19</f>
        <v>0</v>
      </c>
      <c r="BF11" s="12" t="s">
        <v>264</v>
      </c>
    </row>
    <row r="12" spans="1:67" x14ac:dyDescent="0.25">
      <c r="A12" s="29" t="s">
        <v>118</v>
      </c>
      <c r="B12" s="23">
        <v>2.7399999999999998E-3</v>
      </c>
      <c r="C12" s="20">
        <f t="shared" si="1"/>
        <v>2.7399999999999998</v>
      </c>
      <c r="D12" s="21"/>
      <c r="O12" s="15"/>
      <c r="P12" s="15"/>
      <c r="Q12" s="15"/>
      <c r="R12" s="15"/>
      <c r="S12" s="15"/>
      <c r="T12" s="15"/>
      <c r="U12" s="15"/>
      <c r="V12" s="15"/>
      <c r="W12" s="15"/>
      <c r="X12" s="19"/>
      <c r="AK12" s="2">
        <f>Eingabemaske!C21</f>
        <v>0</v>
      </c>
      <c r="AL12" s="2">
        <f>Eingabemaske!D21</f>
        <v>0</v>
      </c>
      <c r="AM12" s="2">
        <f>Eingabemaske!E21</f>
        <v>0</v>
      </c>
      <c r="AN12" s="108">
        <v>0</v>
      </c>
      <c r="AO12" s="108">
        <v>0</v>
      </c>
      <c r="AP12" s="2">
        <f>Eingabemaske!H21</f>
        <v>0</v>
      </c>
      <c r="AQ12" s="2">
        <f>Eingabemaske!H21</f>
        <v>0</v>
      </c>
      <c r="AR12" s="12" t="s">
        <v>265</v>
      </c>
      <c r="AX12" s="2">
        <f>Eingabemaske!G21</f>
        <v>0</v>
      </c>
      <c r="AY12" s="12" t="s">
        <v>265</v>
      </c>
      <c r="BC12" s="3"/>
      <c r="BD12" s="3"/>
      <c r="BE12" s="3">
        <f>Eingabemaske!H21</f>
        <v>0</v>
      </c>
      <c r="BF12" s="12" t="s">
        <v>265</v>
      </c>
      <c r="BG12" s="3"/>
      <c r="BH12" s="3"/>
      <c r="BI12" s="3"/>
    </row>
    <row r="13" spans="1:67" x14ac:dyDescent="0.25">
      <c r="A13" s="29" t="s">
        <v>119</v>
      </c>
      <c r="B13" s="77">
        <f>B15</f>
        <v>1.7050000000000001E-3</v>
      </c>
      <c r="C13" s="3">
        <f>B13*1000</f>
        <v>1.7050000000000001</v>
      </c>
      <c r="D13" s="76" t="s">
        <v>172</v>
      </c>
      <c r="W13" s="2" t="s">
        <v>278</v>
      </c>
      <c r="X13" s="114">
        <f>(R6+U6)/X6</f>
        <v>0.37670240509997105</v>
      </c>
      <c r="AV13" s="3"/>
      <c r="AW13" s="3"/>
      <c r="AX13" s="3"/>
    </row>
    <row r="14" spans="1:67" x14ac:dyDescent="0.25">
      <c r="A14" s="29" t="s">
        <v>114</v>
      </c>
      <c r="B14" s="23">
        <f>H51/1000*B27</f>
        <v>3.2291666666666666E-3</v>
      </c>
      <c r="C14" s="20">
        <f>B14*1000</f>
        <v>3.2291666666666665</v>
      </c>
      <c r="W14" s="3"/>
      <c r="X14" s="3">
        <f>ROUND(X13*100,1)</f>
        <v>37.700000000000003</v>
      </c>
      <c r="AK14" s="3">
        <f>$B18*AK9*$G$6/1000</f>
        <v>2.6375999999999999</v>
      </c>
      <c r="AL14" s="3">
        <f>$B18*AL9*$J$6/1000</f>
        <v>2.2796399999999997</v>
      </c>
      <c r="AM14" s="3">
        <f>$B18*AM9*$M$6/1000</f>
        <v>1.5071999999999999</v>
      </c>
      <c r="AN14" s="3">
        <f>$B18*AN9*$M$6/1000</f>
        <v>0</v>
      </c>
      <c r="AO14" s="3">
        <f>$B18*AO9*$M$6/1000</f>
        <v>0</v>
      </c>
      <c r="AP14" s="3">
        <f>$B18*AP9*$T$6/1000</f>
        <v>0.20723999999999998</v>
      </c>
      <c r="AQ14" s="3">
        <f>$B18*AQ9*$W$6/1000</f>
        <v>1.5071999999999999</v>
      </c>
      <c r="AR14" s="12" t="s">
        <v>262</v>
      </c>
      <c r="AS14" s="3">
        <f>SUM(AK14:AQ14)</f>
        <v>8.1388799999999986</v>
      </c>
      <c r="AV14" s="3"/>
      <c r="AW14" s="3"/>
      <c r="AX14" s="3">
        <f>$B18*AX9*$X$6/1000</f>
        <v>4.5511787999999997</v>
      </c>
      <c r="AY14" s="12" t="s">
        <v>262</v>
      </c>
      <c r="BE14" s="3">
        <f>$B18*BE9*$X$6/1000</f>
        <v>4.5511787999999997</v>
      </c>
      <c r="BF14" s="12" t="s">
        <v>262</v>
      </c>
    </row>
    <row r="15" spans="1:67" x14ac:dyDescent="0.25">
      <c r="A15" s="29" t="s">
        <v>113</v>
      </c>
      <c r="B15" s="23">
        <f>H52/1000*B27</f>
        <v>1.7050000000000001E-3</v>
      </c>
      <c r="C15" s="20">
        <f t="shared" ref="C15:C16" si="2">B15*1000</f>
        <v>1.7050000000000001</v>
      </c>
      <c r="AK15" s="3">
        <f t="shared" ref="AK15:AK17" si="3">$B19*AK10*$G$6/1000</f>
        <v>0</v>
      </c>
      <c r="AL15" s="3">
        <f t="shared" ref="AL15:AL17" si="4">$B19*AL10*$J$6/1000</f>
        <v>0</v>
      </c>
      <c r="AM15" s="3">
        <f t="shared" ref="AM15:AO15" si="5">$B19*AM10*$M$6/1000</f>
        <v>0</v>
      </c>
      <c r="AN15" s="3">
        <f t="shared" si="5"/>
        <v>0</v>
      </c>
      <c r="AO15" s="3">
        <f t="shared" si="5"/>
        <v>0</v>
      </c>
      <c r="AP15" s="3">
        <f t="shared" ref="AP15:AP17" si="6">$B19*AP10*$T$6/1000</f>
        <v>0</v>
      </c>
      <c r="AQ15" s="3">
        <f t="shared" ref="AQ15:AQ17" si="7">$B19*AQ10*$W$6/1000</f>
        <v>0</v>
      </c>
      <c r="AR15" s="12" t="s">
        <v>263</v>
      </c>
      <c r="AS15" s="3">
        <f t="shared" ref="AS15:AS17" si="8">SUM(AK15:AQ15)</f>
        <v>0</v>
      </c>
      <c r="AV15" s="3"/>
      <c r="AW15" s="3"/>
      <c r="AX15" s="3">
        <f t="shared" ref="AX15:AX17" si="9">$B19*AX10*$X$6/1000</f>
        <v>0</v>
      </c>
      <c r="AY15" s="12" t="s">
        <v>263</v>
      </c>
      <c r="BE15" s="3">
        <f t="shared" ref="BE15:BE17" si="10">$B19*BE10*$X$6/1000</f>
        <v>0</v>
      </c>
      <c r="BF15" s="12" t="s">
        <v>263</v>
      </c>
    </row>
    <row r="16" spans="1:67" x14ac:dyDescent="0.25">
      <c r="A16" s="29" t="s">
        <v>48</v>
      </c>
      <c r="B16" s="23">
        <f>F38/1000*B27</f>
        <v>0</v>
      </c>
      <c r="C16" s="20">
        <f t="shared" si="2"/>
        <v>0</v>
      </c>
      <c r="AK16" s="3">
        <f t="shared" si="3"/>
        <v>0</v>
      </c>
      <c r="AL16" s="3">
        <f t="shared" si="4"/>
        <v>0</v>
      </c>
      <c r="AM16" s="3">
        <f t="shared" ref="AM16:AO16" si="11">$B20*AM11*$M$6/1000</f>
        <v>0</v>
      </c>
      <c r="AN16" s="3">
        <f t="shared" si="11"/>
        <v>0</v>
      </c>
      <c r="AO16" s="3">
        <f t="shared" si="11"/>
        <v>0</v>
      </c>
      <c r="AP16" s="3">
        <f t="shared" si="6"/>
        <v>0</v>
      </c>
      <c r="AQ16" s="3">
        <f t="shared" si="7"/>
        <v>0</v>
      </c>
      <c r="AR16" s="12" t="s">
        <v>264</v>
      </c>
      <c r="AS16" s="3">
        <f t="shared" si="8"/>
        <v>0</v>
      </c>
      <c r="AU16" s="3"/>
      <c r="AV16" s="3"/>
      <c r="AW16" s="3"/>
      <c r="AX16" s="3">
        <f t="shared" si="9"/>
        <v>0</v>
      </c>
      <c r="AY16" s="12" t="s">
        <v>264</v>
      </c>
      <c r="BE16" s="3">
        <f t="shared" si="10"/>
        <v>0</v>
      </c>
      <c r="BF16" s="12" t="s">
        <v>264</v>
      </c>
    </row>
    <row r="17" spans="1:64" x14ac:dyDescent="0.25">
      <c r="A17" s="29"/>
      <c r="B17" s="23"/>
      <c r="C17" s="20"/>
      <c r="AK17" s="3">
        <f t="shared" si="3"/>
        <v>0</v>
      </c>
      <c r="AL17" s="3">
        <f t="shared" si="4"/>
        <v>0</v>
      </c>
      <c r="AM17" s="3">
        <f t="shared" ref="AM17:AO17" si="12">$B21*AM12*$M$6/1000</f>
        <v>0</v>
      </c>
      <c r="AN17" s="3">
        <f t="shared" si="12"/>
        <v>0</v>
      </c>
      <c r="AO17" s="3">
        <f t="shared" si="12"/>
        <v>0</v>
      </c>
      <c r="AP17" s="3">
        <f t="shared" si="6"/>
        <v>0</v>
      </c>
      <c r="AQ17" s="3">
        <f t="shared" si="7"/>
        <v>0</v>
      </c>
      <c r="AR17" s="12" t="s">
        <v>265</v>
      </c>
      <c r="AS17" s="3">
        <f t="shared" si="8"/>
        <v>0</v>
      </c>
      <c r="AU17" s="3"/>
      <c r="AV17" s="3"/>
      <c r="AW17" s="3"/>
      <c r="AX17" s="3">
        <f t="shared" si="9"/>
        <v>0</v>
      </c>
      <c r="AY17" s="12" t="s">
        <v>265</v>
      </c>
      <c r="BE17" s="3">
        <f t="shared" si="10"/>
        <v>0</v>
      </c>
      <c r="BF17" s="12" t="s">
        <v>265</v>
      </c>
    </row>
    <row r="18" spans="1:64" x14ac:dyDescent="0.25">
      <c r="A18" s="29" t="s">
        <v>260</v>
      </c>
      <c r="B18" s="2">
        <v>7.5359999999999996E-2</v>
      </c>
      <c r="C18" s="12" t="s">
        <v>266</v>
      </c>
      <c r="AS18" s="3">
        <f>SUM(AS14:AS17)</f>
        <v>8.1388799999999986</v>
      </c>
      <c r="AU18" s="3"/>
      <c r="AV18" s="3"/>
      <c r="AW18" s="3"/>
      <c r="AX18" s="3">
        <f>SUM(AX14:AX17)</f>
        <v>4.5511787999999997</v>
      </c>
      <c r="BE18" s="3">
        <f>SUM(BE14:BE17)</f>
        <v>4.5511787999999997</v>
      </c>
    </row>
    <row r="19" spans="1:64" x14ac:dyDescent="0.25">
      <c r="A19" s="29" t="s">
        <v>261</v>
      </c>
      <c r="B19" s="2">
        <v>2.1642857142857144E-2</v>
      </c>
      <c r="C19" s="12" t="s">
        <v>266</v>
      </c>
      <c r="AU19" s="3"/>
      <c r="AV19" s="3"/>
      <c r="AW19" s="3"/>
      <c r="AX19" s="3"/>
    </row>
    <row r="20" spans="1:64" x14ac:dyDescent="0.25">
      <c r="A20" s="29" t="s">
        <v>258</v>
      </c>
      <c r="B20" s="2">
        <v>3.4091428571428571E-2</v>
      </c>
      <c r="C20" s="12" t="s">
        <v>266</v>
      </c>
      <c r="AU20" s="3"/>
      <c r="AV20" s="3"/>
      <c r="AW20" s="3"/>
      <c r="AX20" s="3"/>
    </row>
    <row r="21" spans="1:64" x14ac:dyDescent="0.25">
      <c r="A21" s="29" t="s">
        <v>259</v>
      </c>
      <c r="B21" s="2">
        <v>7.6760000000000005E-3</v>
      </c>
      <c r="C21" s="12" t="s">
        <v>266</v>
      </c>
      <c r="AU21" s="3"/>
      <c r="AV21" s="3"/>
      <c r="AW21" s="3"/>
      <c r="AX21" s="3"/>
    </row>
    <row r="22" spans="1:64" x14ac:dyDescent="0.25">
      <c r="A22" s="29" t="s">
        <v>267</v>
      </c>
      <c r="B22" s="106">
        <v>1.4544011428571431E-2</v>
      </c>
      <c r="C22" s="107" t="s">
        <v>266</v>
      </c>
      <c r="AU22" s="3"/>
      <c r="AV22" s="3"/>
      <c r="AW22" s="3"/>
      <c r="AX22" s="3"/>
    </row>
    <row r="23" spans="1:64" ht="32.4" x14ac:dyDescent="0.25">
      <c r="E23" s="137" t="s">
        <v>82</v>
      </c>
      <c r="F23" s="137"/>
      <c r="G23" s="137"/>
      <c r="H23" s="137"/>
      <c r="I23" s="137"/>
      <c r="J23" s="137"/>
      <c r="K23" s="137"/>
      <c r="L23" s="137"/>
      <c r="M23" s="137"/>
      <c r="N23" s="137"/>
      <c r="O23" s="137"/>
      <c r="P23" s="137"/>
      <c r="Q23" s="137"/>
      <c r="R23" s="137"/>
      <c r="S23" s="137"/>
      <c r="T23" s="137"/>
      <c r="U23" s="137"/>
      <c r="V23" s="137"/>
      <c r="W23" s="137"/>
      <c r="X23" s="137"/>
      <c r="Y23" s="137"/>
      <c r="Z23" s="137"/>
      <c r="AA23" s="137"/>
      <c r="AE23" s="137" t="s">
        <v>83</v>
      </c>
      <c r="AF23" s="137"/>
      <c r="AG23" s="137"/>
      <c r="AH23" s="137"/>
      <c r="AI23" s="137"/>
      <c r="AJ23" s="137"/>
      <c r="AK23" s="137"/>
      <c r="AL23" s="137"/>
      <c r="AM23" s="137"/>
      <c r="AN23" s="137"/>
      <c r="AO23" s="137"/>
      <c r="AP23" s="137"/>
      <c r="AQ23" s="137"/>
      <c r="AR23" s="137"/>
      <c r="AS23" s="137"/>
      <c r="AT23" s="137"/>
      <c r="AU23" s="137"/>
      <c r="AV23" s="137"/>
      <c r="AW23" s="137"/>
      <c r="AX23" s="137"/>
    </row>
    <row r="24" spans="1:64" x14ac:dyDescent="0.25">
      <c r="A24" s="1" t="s">
        <v>0</v>
      </c>
      <c r="B24" s="1">
        <v>0.49299999999999999</v>
      </c>
      <c r="C24" s="2" t="s">
        <v>256</v>
      </c>
    </row>
    <row r="25" spans="1:64" x14ac:dyDescent="0.25">
      <c r="AU25" s="3"/>
      <c r="AV25" s="3"/>
      <c r="AW25" s="3"/>
      <c r="AX25" s="3"/>
    </row>
    <row r="26" spans="1:64" x14ac:dyDescent="0.25">
      <c r="B26" s="30" t="s">
        <v>77</v>
      </c>
      <c r="C26" s="30" t="s">
        <v>76</v>
      </c>
      <c r="AU26" s="3"/>
      <c r="AV26" s="3"/>
      <c r="AW26" s="3"/>
      <c r="AX26" s="3"/>
    </row>
    <row r="27" spans="1:64" x14ac:dyDescent="0.25">
      <c r="A27" s="2" t="s">
        <v>71</v>
      </c>
      <c r="B27" s="1">
        <v>3.1</v>
      </c>
      <c r="C27" s="1">
        <f>B18</f>
        <v>7.5359999999999996E-2</v>
      </c>
      <c r="D27" s="12" t="s">
        <v>160</v>
      </c>
      <c r="M27" s="138" t="s">
        <v>63</v>
      </c>
      <c r="N27" s="138"/>
      <c r="O27" s="138"/>
      <c r="AG27" s="2" t="s">
        <v>20</v>
      </c>
      <c r="AH27" s="2" t="s">
        <v>0</v>
      </c>
      <c r="AJ27" s="2" t="s">
        <v>5</v>
      </c>
      <c r="AL27" s="2" t="s">
        <v>14</v>
      </c>
      <c r="AO27" s="2" t="s">
        <v>6</v>
      </c>
      <c r="AP27" s="2" t="s">
        <v>42</v>
      </c>
      <c r="AQ27" s="2" t="s">
        <v>7</v>
      </c>
      <c r="AR27" s="2" t="s">
        <v>2</v>
      </c>
      <c r="AS27" s="2" t="s">
        <v>16</v>
      </c>
      <c r="AU27" s="2" t="s">
        <v>40</v>
      </c>
      <c r="AV27" s="2" t="s">
        <v>44</v>
      </c>
      <c r="AW27" s="2" t="s">
        <v>18</v>
      </c>
      <c r="AX27" s="3"/>
      <c r="BK27" s="3"/>
      <c r="BL27" s="3"/>
    </row>
    <row r="28" spans="1:64" x14ac:dyDescent="0.25">
      <c r="M28" s="138"/>
      <c r="N28" s="138"/>
      <c r="O28" s="138"/>
      <c r="V28" s="28"/>
      <c r="W28" s="28" t="s">
        <v>168</v>
      </c>
      <c r="AG28" s="2" t="s">
        <v>21</v>
      </c>
      <c r="AH28" s="2">
        <v>451</v>
      </c>
      <c r="AI28" s="2" t="s">
        <v>25</v>
      </c>
      <c r="AJ28" s="2">
        <v>401</v>
      </c>
      <c r="AK28" s="2" t="s">
        <v>23</v>
      </c>
      <c r="AL28" s="2">
        <v>1423</v>
      </c>
      <c r="AM28" s="2" t="s">
        <v>24</v>
      </c>
      <c r="AO28" s="2">
        <v>182</v>
      </c>
      <c r="AQ28" s="2">
        <v>0.66</v>
      </c>
      <c r="AR28" s="2">
        <v>0.68</v>
      </c>
      <c r="AV28" s="3">
        <f>AO28/AH28</f>
        <v>0.40354767184035478</v>
      </c>
      <c r="AW28" s="3">
        <f>AH28+AJ28+AL28+AO28+AQ28+AR28+AS28</f>
        <v>2458.3399999999997</v>
      </c>
      <c r="AX28" s="3"/>
      <c r="BK28" s="3"/>
      <c r="BL28" s="3"/>
    </row>
    <row r="29" spans="1:64" x14ac:dyDescent="0.25">
      <c r="B29" s="30" t="s">
        <v>121</v>
      </c>
      <c r="C29" s="29"/>
      <c r="M29" s="138"/>
      <c r="N29" s="138"/>
      <c r="O29" s="138"/>
      <c r="V29" s="2">
        <v>35</v>
      </c>
      <c r="W29" s="2" t="s">
        <v>161</v>
      </c>
      <c r="AG29" s="2" t="s">
        <v>22</v>
      </c>
      <c r="AH29" s="2">
        <v>440</v>
      </c>
      <c r="AI29" s="2" t="s">
        <v>25</v>
      </c>
      <c r="AJ29" s="2">
        <v>483</v>
      </c>
      <c r="AK29" s="2" t="s">
        <v>26</v>
      </c>
      <c r="AL29" s="2">
        <v>1268</v>
      </c>
      <c r="AM29" s="2" t="s">
        <v>27</v>
      </c>
      <c r="AN29" s="3"/>
      <c r="AO29" s="2">
        <v>170</v>
      </c>
      <c r="AQ29" s="2">
        <v>0.22</v>
      </c>
      <c r="AR29" s="2">
        <v>1.76</v>
      </c>
      <c r="AV29" s="3">
        <f t="shared" ref="AV29:AV30" si="13">AO29/AH29</f>
        <v>0.38636363636363635</v>
      </c>
      <c r="AW29" s="3">
        <f t="shared" ref="AW29:AW34" si="14">AH29+AJ29+AL29+AO29+AQ29+AR29+AS29</f>
        <v>2362.98</v>
      </c>
      <c r="AX29" s="3"/>
      <c r="BK29" s="3"/>
      <c r="BL29" s="3"/>
    </row>
    <row r="30" spans="1:64" x14ac:dyDescent="0.25">
      <c r="A30" s="2" t="s">
        <v>122</v>
      </c>
      <c r="B30" s="21">
        <v>0.34499999999999997</v>
      </c>
      <c r="M30" s="138"/>
      <c r="N30" s="138"/>
      <c r="O30" s="138"/>
      <c r="V30" s="3">
        <f>V29/100</f>
        <v>0.35</v>
      </c>
      <c r="W30" s="2" t="s">
        <v>162</v>
      </c>
      <c r="AG30" s="2" t="s">
        <v>28</v>
      </c>
      <c r="AH30" s="2">
        <v>450</v>
      </c>
      <c r="AI30" s="2" t="s">
        <v>25</v>
      </c>
      <c r="AJ30" s="2">
        <v>522</v>
      </c>
      <c r="AK30" s="2" t="s">
        <v>30</v>
      </c>
      <c r="AL30" s="2">
        <v>1162</v>
      </c>
      <c r="AM30" s="2" t="s">
        <v>29</v>
      </c>
      <c r="AO30" s="2">
        <v>175</v>
      </c>
      <c r="AQ30" s="2">
        <v>0.68</v>
      </c>
      <c r="AR30" s="2">
        <v>1.8</v>
      </c>
      <c r="AV30" s="3">
        <f t="shared" si="13"/>
        <v>0.3888888888888889</v>
      </c>
      <c r="AW30" s="3">
        <f t="shared" si="14"/>
        <v>2311.48</v>
      </c>
      <c r="AX30" s="3"/>
      <c r="BK30" s="3"/>
      <c r="BL30" s="3"/>
    </row>
    <row r="31" spans="1:64" x14ac:dyDescent="0.25">
      <c r="D31" s="28"/>
      <c r="E31" s="28" t="s">
        <v>48</v>
      </c>
      <c r="I31" s="28"/>
      <c r="J31" s="28" t="s">
        <v>61</v>
      </c>
      <c r="M31" s="28"/>
      <c r="N31" s="28" t="s">
        <v>62</v>
      </c>
      <c r="V31" s="3">
        <f>V30*B27</f>
        <v>1.085</v>
      </c>
      <c r="W31" s="2" t="s">
        <v>163</v>
      </c>
      <c r="AW31" s="3"/>
      <c r="AX31" s="3"/>
    </row>
    <row r="32" spans="1:64" x14ac:dyDescent="0.25">
      <c r="B32" s="30" t="s">
        <v>120</v>
      </c>
      <c r="C32" s="30" t="s">
        <v>142</v>
      </c>
      <c r="E32" s="2" t="s">
        <v>49</v>
      </c>
      <c r="F32" s="2">
        <v>10</v>
      </c>
      <c r="G32" s="2" t="s">
        <v>52</v>
      </c>
      <c r="J32" s="2" t="s">
        <v>51</v>
      </c>
      <c r="K32" s="2">
        <v>20</v>
      </c>
      <c r="L32" s="2" t="s">
        <v>52</v>
      </c>
      <c r="N32" s="2" t="s">
        <v>64</v>
      </c>
      <c r="O32" s="2">
        <v>80</v>
      </c>
      <c r="V32" s="3">
        <f>V31/24</f>
        <v>4.520833333333333E-2</v>
      </c>
      <c r="W32" s="2" t="s">
        <v>165</v>
      </c>
      <c r="X32" s="2" t="s">
        <v>164</v>
      </c>
      <c r="AG32" s="2" t="s">
        <v>31</v>
      </c>
      <c r="AH32" s="2">
        <v>365</v>
      </c>
      <c r="AI32" s="2" t="s">
        <v>25</v>
      </c>
      <c r="AJ32" s="2">
        <v>501</v>
      </c>
      <c r="AK32" s="2" t="s">
        <v>32</v>
      </c>
      <c r="AO32" s="2">
        <v>185</v>
      </c>
      <c r="AP32" s="2">
        <v>157</v>
      </c>
      <c r="AQ32" s="2">
        <v>0.72</v>
      </c>
      <c r="AS32" s="2">
        <f>334+418+418</f>
        <v>1170</v>
      </c>
      <c r="AT32" s="2" t="s">
        <v>33</v>
      </c>
      <c r="AU32" s="2">
        <v>2250</v>
      </c>
      <c r="AV32" s="3">
        <f t="shared" ref="AV32:AV33" si="15">AP32/AH32</f>
        <v>0.43013698630136987</v>
      </c>
      <c r="AW32" s="3">
        <f t="shared" si="14"/>
        <v>2221.7200000000003</v>
      </c>
      <c r="AX32" s="3"/>
    </row>
    <row r="33" spans="1:49" x14ac:dyDescent="0.25">
      <c r="A33" s="2" t="s">
        <v>125</v>
      </c>
      <c r="B33" s="24">
        <f>IF(Eingabemaske!J15="stationär",Berechnung!B35,Berechnung!B34)</f>
        <v>0.34499999999999997</v>
      </c>
      <c r="E33" s="2" t="s">
        <v>50</v>
      </c>
      <c r="F33" s="2">
        <v>25</v>
      </c>
      <c r="G33" s="2" t="s">
        <v>52</v>
      </c>
      <c r="J33" s="2" t="s">
        <v>58</v>
      </c>
      <c r="K33" s="2">
        <v>30</v>
      </c>
      <c r="L33" s="2" t="s">
        <v>52</v>
      </c>
      <c r="N33" s="2" t="s">
        <v>67</v>
      </c>
      <c r="O33" s="6">
        <v>150</v>
      </c>
      <c r="V33" s="3">
        <f>V32</f>
        <v>4.520833333333333E-2</v>
      </c>
      <c r="W33" s="2" t="s">
        <v>165</v>
      </c>
      <c r="X33" s="12" t="s">
        <v>166</v>
      </c>
      <c r="AG33" s="2" t="s">
        <v>41</v>
      </c>
      <c r="AH33" s="2">
        <v>340</v>
      </c>
      <c r="AI33" s="2" t="s">
        <v>25</v>
      </c>
      <c r="AJ33" s="2">
        <v>715</v>
      </c>
      <c r="AK33" s="2" t="s">
        <v>32</v>
      </c>
      <c r="AO33" s="2">
        <v>170</v>
      </c>
      <c r="AP33" s="2">
        <v>145</v>
      </c>
      <c r="AQ33" s="2">
        <v>0.6</v>
      </c>
      <c r="AS33" s="2">
        <f>205+431+517</f>
        <v>1153</v>
      </c>
      <c r="AT33" s="2" t="s">
        <v>33</v>
      </c>
      <c r="AU33" s="2">
        <v>2370</v>
      </c>
      <c r="AV33" s="3">
        <f t="shared" si="15"/>
        <v>0.4264705882352941</v>
      </c>
      <c r="AW33" s="3">
        <f t="shared" si="14"/>
        <v>2378.6</v>
      </c>
    </row>
    <row r="34" spans="1:49" x14ac:dyDescent="0.25">
      <c r="A34" s="2" t="s">
        <v>123</v>
      </c>
      <c r="B34" s="3">
        <f>O35*B27</f>
        <v>1.3777777777777778</v>
      </c>
      <c r="E34" s="2" t="s">
        <v>51</v>
      </c>
      <c r="F34" s="2">
        <v>20</v>
      </c>
      <c r="G34" s="2" t="s">
        <v>52</v>
      </c>
      <c r="J34" s="2" t="s">
        <v>59</v>
      </c>
      <c r="K34" s="2">
        <v>50</v>
      </c>
      <c r="L34" s="2" t="s">
        <v>52</v>
      </c>
      <c r="N34" s="2" t="s">
        <v>68</v>
      </c>
      <c r="O34" s="2">
        <v>30</v>
      </c>
      <c r="V34" s="3">
        <f>V33*2</f>
        <v>9.0416666666666659E-2</v>
      </c>
      <c r="W34" s="2" t="s">
        <v>165</v>
      </c>
      <c r="X34" s="12" t="s">
        <v>167</v>
      </c>
      <c r="AG34" s="2" t="s">
        <v>41</v>
      </c>
      <c r="AH34" s="2">
        <v>350</v>
      </c>
      <c r="AI34" s="2" t="s">
        <v>25</v>
      </c>
      <c r="AJ34" s="2">
        <v>757</v>
      </c>
      <c r="AK34" s="2" t="s">
        <v>32</v>
      </c>
      <c r="AL34" s="2">
        <f>227+492+417</f>
        <v>1136</v>
      </c>
      <c r="AM34" s="2" t="s">
        <v>43</v>
      </c>
      <c r="AO34" s="2">
        <v>152</v>
      </c>
      <c r="AP34" s="2">
        <v>152</v>
      </c>
      <c r="AQ34" s="2">
        <v>0.63</v>
      </c>
      <c r="AU34" s="2">
        <v>2400</v>
      </c>
      <c r="AV34" s="3">
        <f>AP34/AH34</f>
        <v>0.43428571428571427</v>
      </c>
      <c r="AW34" s="3">
        <f t="shared" si="14"/>
        <v>2395.63</v>
      </c>
    </row>
    <row r="35" spans="1:49" x14ac:dyDescent="0.25">
      <c r="A35" s="2" t="s">
        <v>124</v>
      </c>
      <c r="B35" s="2">
        <f>O38*B30</f>
        <v>0.34499999999999997</v>
      </c>
      <c r="E35" s="2" t="s">
        <v>55</v>
      </c>
      <c r="F35" s="2">
        <f>SUM(F32:F34)</f>
        <v>55</v>
      </c>
      <c r="G35" s="2" t="s">
        <v>52</v>
      </c>
      <c r="J35" s="2" t="s">
        <v>55</v>
      </c>
      <c r="K35" s="2">
        <f>SUM(K32:K34)</f>
        <v>100</v>
      </c>
      <c r="L35" s="2" t="s">
        <v>52</v>
      </c>
      <c r="O35" s="3">
        <f>O32/(O33+O34)</f>
        <v>0.44444444444444442</v>
      </c>
      <c r="V35" s="2">
        <v>0.09</v>
      </c>
      <c r="W35" s="2" t="s">
        <v>165</v>
      </c>
      <c r="X35" s="2" t="s">
        <v>169</v>
      </c>
    </row>
    <row r="36" spans="1:49" x14ac:dyDescent="0.25">
      <c r="E36" s="2" t="s">
        <v>53</v>
      </c>
      <c r="F36" s="6">
        <v>75</v>
      </c>
      <c r="G36" s="2" t="s">
        <v>54</v>
      </c>
      <c r="J36" s="2" t="s">
        <v>60</v>
      </c>
      <c r="K36" s="6">
        <v>40</v>
      </c>
      <c r="L36" s="2" t="s">
        <v>54</v>
      </c>
    </row>
    <row r="37" spans="1:49" x14ac:dyDescent="0.25">
      <c r="B37" s="3"/>
      <c r="E37" s="2" t="s">
        <v>56</v>
      </c>
      <c r="F37" s="3">
        <f>F35/F36</f>
        <v>0.73333333333333328</v>
      </c>
      <c r="G37" s="2" t="s">
        <v>57</v>
      </c>
      <c r="J37" s="2" t="s">
        <v>56</v>
      </c>
      <c r="K37" s="3">
        <f>K35/K36</f>
        <v>2.5</v>
      </c>
      <c r="L37" s="2" t="s">
        <v>57</v>
      </c>
      <c r="M37" s="28"/>
      <c r="N37" s="28" t="s">
        <v>65</v>
      </c>
      <c r="AG37" s="2" t="s">
        <v>104</v>
      </c>
      <c r="AH37" s="2">
        <v>420</v>
      </c>
      <c r="AI37" s="2" t="s">
        <v>105</v>
      </c>
      <c r="AJ37" s="2">
        <v>507</v>
      </c>
      <c r="AK37" s="2" t="s">
        <v>26</v>
      </c>
      <c r="AL37" s="2">
        <f>552+743</f>
        <v>1295</v>
      </c>
      <c r="AM37" s="2" t="s">
        <v>106</v>
      </c>
      <c r="AO37" s="2">
        <v>168</v>
      </c>
      <c r="AQ37" s="2">
        <v>0.24</v>
      </c>
      <c r="AR37" s="2">
        <v>1.26</v>
      </c>
      <c r="AU37" s="2">
        <v>2390</v>
      </c>
      <c r="AV37" s="3">
        <f>AO37/AH37</f>
        <v>0.4</v>
      </c>
      <c r="AW37" s="3">
        <f>AH37+AJ37+AL37+AO37+AQ37+AR37+AS37</f>
        <v>2391.5</v>
      </c>
    </row>
    <row r="38" spans="1:49" x14ac:dyDescent="0.25">
      <c r="B38" s="3"/>
      <c r="F38" s="3"/>
      <c r="N38" s="2" t="s">
        <v>66</v>
      </c>
      <c r="O38" s="2">
        <v>1</v>
      </c>
      <c r="AG38" s="2" t="s">
        <v>107</v>
      </c>
      <c r="AH38" s="2">
        <v>340</v>
      </c>
      <c r="AI38" s="2" t="s">
        <v>105</v>
      </c>
      <c r="AJ38" s="2">
        <v>534</v>
      </c>
      <c r="AK38" s="2" t="s">
        <v>26</v>
      </c>
      <c r="AL38" s="2">
        <f>286+519+564</f>
        <v>1369</v>
      </c>
      <c r="AM38" s="2" t="s">
        <v>108</v>
      </c>
      <c r="AO38" s="2">
        <v>146</v>
      </c>
      <c r="AQ38" s="2">
        <v>0.28999999999999998</v>
      </c>
      <c r="AR38" s="2">
        <v>0.34</v>
      </c>
      <c r="AU38" s="2">
        <v>2390</v>
      </c>
      <c r="AV38" s="3">
        <f>AO38/AH38</f>
        <v>0.42941176470588233</v>
      </c>
      <c r="AW38" s="3">
        <f>AH38+AJ38+AL38+AO38+AQ38+AR38+AS38</f>
        <v>2389.63</v>
      </c>
    </row>
    <row r="39" spans="1:49" x14ac:dyDescent="0.25">
      <c r="A39" s="2" t="s">
        <v>48</v>
      </c>
      <c r="B39" s="3">
        <f>F37*B27</f>
        <v>2.2733333333333334</v>
      </c>
      <c r="C39" s="3">
        <f>B39/2.4</f>
        <v>0.9472222222222223</v>
      </c>
    </row>
    <row r="40" spans="1:49" x14ac:dyDescent="0.25">
      <c r="N40" s="2" t="s">
        <v>69</v>
      </c>
      <c r="O40" s="2">
        <f>O41*0.8</f>
        <v>240</v>
      </c>
      <c r="U40" s="12"/>
      <c r="AG40" s="2" t="s">
        <v>38</v>
      </c>
      <c r="AH40" s="2" t="s">
        <v>39</v>
      </c>
      <c r="AJ40" s="2" t="s">
        <v>38</v>
      </c>
      <c r="AK40" s="2" t="s">
        <v>39</v>
      </c>
    </row>
    <row r="41" spans="1:49" x14ac:dyDescent="0.25">
      <c r="I41" s="28"/>
      <c r="J41" s="28" t="s">
        <v>112</v>
      </c>
      <c r="N41" s="2" t="s">
        <v>69</v>
      </c>
      <c r="O41" s="2">
        <v>300</v>
      </c>
      <c r="U41" s="12"/>
      <c r="AE41" s="2" t="s">
        <v>34</v>
      </c>
      <c r="AF41" s="2" t="s">
        <v>35</v>
      </c>
      <c r="AG41" s="2">
        <v>3</v>
      </c>
      <c r="AH41" s="2">
        <v>2.5</v>
      </c>
      <c r="AK41" s="2">
        <v>2.7</v>
      </c>
    </row>
    <row r="42" spans="1:49" x14ac:dyDescent="0.25">
      <c r="B42" s="2" t="s">
        <v>133</v>
      </c>
      <c r="C42" s="34">
        <f>IF(OR(U6&gt;0,R6&gt;0),(R6+U6)/X6,0)</f>
        <v>0.37670240509997105</v>
      </c>
      <c r="J42" s="2" t="s">
        <v>111</v>
      </c>
      <c r="K42" s="2">
        <v>24</v>
      </c>
      <c r="L42" s="2" t="s">
        <v>52</v>
      </c>
      <c r="N42" s="2" t="s">
        <v>70</v>
      </c>
      <c r="O42" s="6">
        <v>80</v>
      </c>
      <c r="U42" s="12"/>
      <c r="AF42" s="2" t="s">
        <v>36</v>
      </c>
      <c r="AG42" s="2">
        <v>2.7</v>
      </c>
      <c r="AH42" s="2">
        <v>2.2000000000000002</v>
      </c>
      <c r="AK42" s="2">
        <v>2</v>
      </c>
    </row>
    <row r="43" spans="1:49" x14ac:dyDescent="0.25">
      <c r="J43" s="2" t="s">
        <v>110</v>
      </c>
      <c r="K43" s="2">
        <v>17</v>
      </c>
      <c r="L43" s="2" t="s">
        <v>52</v>
      </c>
      <c r="O43" s="3">
        <f>O42/O40</f>
        <v>0.33333333333333331</v>
      </c>
      <c r="U43" s="12"/>
      <c r="AF43" s="2" t="s">
        <v>37</v>
      </c>
      <c r="AG43" s="2">
        <v>2.9</v>
      </c>
      <c r="AH43" s="2">
        <v>2.4</v>
      </c>
      <c r="AK43" s="2">
        <v>2.2000000000000002</v>
      </c>
    </row>
    <row r="44" spans="1:49" x14ac:dyDescent="0.25">
      <c r="C44" s="113">
        <v>45292</v>
      </c>
      <c r="J44" s="2" t="s">
        <v>109</v>
      </c>
      <c r="K44" s="2">
        <v>25</v>
      </c>
      <c r="L44" s="2" t="s">
        <v>52</v>
      </c>
      <c r="R44" s="106"/>
      <c r="S44" s="106"/>
      <c r="T44" s="106"/>
      <c r="U44" s="107"/>
    </row>
    <row r="45" spans="1:49" x14ac:dyDescent="0.25">
      <c r="C45" s="113">
        <v>49309</v>
      </c>
      <c r="J45" s="2" t="s">
        <v>55</v>
      </c>
      <c r="K45" s="2">
        <f>SUM(K42:K44)</f>
        <v>66</v>
      </c>
      <c r="L45" s="2" t="s">
        <v>52</v>
      </c>
    </row>
    <row r="46" spans="1:49" x14ac:dyDescent="0.25">
      <c r="J46" s="2" t="s">
        <v>60</v>
      </c>
      <c r="K46" s="6">
        <f>120/2.4</f>
        <v>50</v>
      </c>
      <c r="L46" s="2" t="s">
        <v>54</v>
      </c>
    </row>
    <row r="47" spans="1:49" x14ac:dyDescent="0.25">
      <c r="J47" s="2" t="s">
        <v>56</v>
      </c>
      <c r="K47" s="3">
        <f>K45/K46</f>
        <v>1.32</v>
      </c>
      <c r="L47" s="2" t="s">
        <v>57</v>
      </c>
    </row>
    <row r="48" spans="1:49" x14ac:dyDescent="0.25">
      <c r="B48" s="27" t="s">
        <v>149</v>
      </c>
    </row>
    <row r="49" spans="2:50" x14ac:dyDescent="0.25">
      <c r="B49" s="5" t="s">
        <v>148</v>
      </c>
    </row>
    <row r="50" spans="2:50" x14ac:dyDescent="0.25">
      <c r="B50" s="34" t="s">
        <v>150</v>
      </c>
      <c r="AX50" s="3"/>
    </row>
    <row r="51" spans="2:50" x14ac:dyDescent="0.25">
      <c r="D51" s="28"/>
      <c r="E51" s="28" t="s">
        <v>156</v>
      </c>
      <c r="F51" s="3">
        <f>K37</f>
        <v>2.5</v>
      </c>
      <c r="G51" s="2" t="s">
        <v>57</v>
      </c>
      <c r="H51" s="3">
        <f>F51/2.4</f>
        <v>1.0416666666666667</v>
      </c>
      <c r="I51" s="2" t="s">
        <v>115</v>
      </c>
      <c r="K51" s="3">
        <f>K37/2.4*B27</f>
        <v>3.229166666666667</v>
      </c>
    </row>
    <row r="52" spans="2:50" x14ac:dyDescent="0.25">
      <c r="D52" s="28"/>
      <c r="E52" s="28" t="s">
        <v>155</v>
      </c>
      <c r="F52" s="3">
        <f>K47</f>
        <v>1.32</v>
      </c>
      <c r="G52" s="2" t="s">
        <v>57</v>
      </c>
      <c r="H52" s="3">
        <f>F52/2.4</f>
        <v>0.55000000000000004</v>
      </c>
      <c r="I52" s="2" t="s">
        <v>115</v>
      </c>
      <c r="K52" s="3">
        <f>K47/2.4*B27</f>
        <v>1.7050000000000003</v>
      </c>
    </row>
    <row r="55" spans="2:50" x14ac:dyDescent="0.25">
      <c r="B55" s="2" t="s">
        <v>178</v>
      </c>
      <c r="L55" s="2" t="s">
        <v>84</v>
      </c>
    </row>
    <row r="56" spans="2:50" x14ac:dyDescent="0.25">
      <c r="B56" s="34" t="s">
        <v>176</v>
      </c>
      <c r="E56" s="2" t="s">
        <v>236</v>
      </c>
      <c r="H56" s="2" t="s">
        <v>212</v>
      </c>
      <c r="I56" s="2" t="s">
        <v>236</v>
      </c>
      <c r="L56" s="2" t="s">
        <v>142</v>
      </c>
      <c r="M56" s="2" t="s">
        <v>225</v>
      </c>
      <c r="V56" s="2" t="s">
        <v>178</v>
      </c>
      <c r="W56" s="2" t="s">
        <v>142</v>
      </c>
      <c r="AJ56" s="2" t="s">
        <v>178</v>
      </c>
      <c r="AK56" s="2" t="s">
        <v>142</v>
      </c>
    </row>
    <row r="57" spans="2:50" x14ac:dyDescent="0.25">
      <c r="B57" s="34" t="s">
        <v>177</v>
      </c>
      <c r="E57" s="2" t="s">
        <v>236</v>
      </c>
      <c r="G57" s="2" t="s">
        <v>203</v>
      </c>
      <c r="H57" s="2">
        <v>484.90300000000002</v>
      </c>
      <c r="I57" s="2" t="s">
        <v>236</v>
      </c>
      <c r="K57" s="2" t="s">
        <v>203</v>
      </c>
      <c r="L57" s="2">
        <v>484.90300000000002</v>
      </c>
      <c r="M57" s="12" t="str">
        <f>$M$56&amp;" - "&amp;K57</f>
        <v>Alpacem - CEM II/A-S 42,5 N</v>
      </c>
      <c r="V57" s="105" t="s">
        <v>237</v>
      </c>
      <c r="W57" s="21">
        <v>484.90300000000002</v>
      </c>
      <c r="AB57" s="2" t="s">
        <v>203</v>
      </c>
      <c r="AF57" s="2" t="s">
        <v>292</v>
      </c>
      <c r="AG57" s="2">
        <v>484.90300000000002</v>
      </c>
      <c r="AJ57" s="2" t="str">
        <f>AF57</f>
        <v>CEM II/A-S 42,5/52,5 N/R</v>
      </c>
      <c r="AK57" s="3">
        <f>AG63</f>
        <v>476.43433333333337</v>
      </c>
    </row>
    <row r="58" spans="2:50" x14ac:dyDescent="0.25">
      <c r="E58" s="2" t="s">
        <v>236</v>
      </c>
      <c r="G58" s="2" t="s">
        <v>204</v>
      </c>
      <c r="H58" s="2">
        <v>471.58800000000002</v>
      </c>
      <c r="I58" s="2" t="s">
        <v>236</v>
      </c>
      <c r="K58" s="2" t="s">
        <v>204</v>
      </c>
      <c r="L58" s="2">
        <v>471.58800000000002</v>
      </c>
      <c r="M58" s="12" t="str">
        <f t="shared" ref="M58:M65" si="16">$M$56&amp;" - "&amp;K58</f>
        <v>Alpacem - CEM II/A-S 42,5 R WT 27 C3A-frei</v>
      </c>
      <c r="V58" s="105" t="s">
        <v>238</v>
      </c>
      <c r="W58" s="21">
        <v>471.58800000000002</v>
      </c>
      <c r="AB58" s="2" t="s">
        <v>204</v>
      </c>
      <c r="AG58" s="2">
        <v>471.58800000000002</v>
      </c>
      <c r="AJ58" s="2" t="str">
        <f>AF67</f>
        <v>CEM II/B-S 42,5 N (DZ)</v>
      </c>
      <c r="AK58" s="3">
        <f>AG68</f>
        <v>436.03699999999998</v>
      </c>
    </row>
    <row r="59" spans="2:50" x14ac:dyDescent="0.25">
      <c r="B59" s="34" t="s">
        <v>116</v>
      </c>
      <c r="E59" s="2" t="s">
        <v>236</v>
      </c>
      <c r="G59" s="2" t="s">
        <v>205</v>
      </c>
      <c r="H59" s="2">
        <v>466.714</v>
      </c>
      <c r="I59" s="2" t="s">
        <v>236</v>
      </c>
      <c r="K59" s="2" t="s">
        <v>205</v>
      </c>
      <c r="L59" s="2">
        <v>466.714</v>
      </c>
      <c r="M59" s="12" t="str">
        <f t="shared" si="16"/>
        <v>Alpacem - CEM II/A-S 52,5 N</v>
      </c>
      <c r="V59" s="105" t="s">
        <v>239</v>
      </c>
      <c r="W59" s="21">
        <v>466.714</v>
      </c>
      <c r="AB59" s="2" t="s">
        <v>205</v>
      </c>
      <c r="AG59" s="2">
        <v>466.714</v>
      </c>
      <c r="AJ59" s="2" t="str">
        <f>AF75</f>
        <v>CEM II/B-M (S-...) 42,5/52,5 N/R</v>
      </c>
      <c r="AK59" s="3">
        <f>AG80</f>
        <v>404.68340000000001</v>
      </c>
    </row>
    <row r="60" spans="2:50" x14ac:dyDescent="0.25">
      <c r="B60" s="34" t="s">
        <v>173</v>
      </c>
      <c r="E60" s="2" t="s">
        <v>236</v>
      </c>
      <c r="G60" s="2" t="s">
        <v>206</v>
      </c>
      <c r="H60" s="2">
        <v>438.28699999999998</v>
      </c>
      <c r="I60" s="2" t="s">
        <v>236</v>
      </c>
      <c r="K60" s="2" t="s">
        <v>206</v>
      </c>
      <c r="L60" s="2">
        <v>438.28699999999998</v>
      </c>
      <c r="M60" s="12" t="str">
        <f t="shared" si="16"/>
        <v>Alpacem - CEM II/A-M (S-LL) 42,5 R WT 38</v>
      </c>
      <c r="V60" s="105" t="s">
        <v>240</v>
      </c>
      <c r="W60" s="21">
        <v>438.28699999999998</v>
      </c>
      <c r="AB60" s="2" t="s">
        <v>206</v>
      </c>
      <c r="AC60" s="2">
        <v>438.28699999999998</v>
      </c>
      <c r="AG60" s="2">
        <v>464.3</v>
      </c>
    </row>
    <row r="61" spans="2:50" x14ac:dyDescent="0.25">
      <c r="E61" s="2" t="s">
        <v>236</v>
      </c>
      <c r="G61" s="2" t="s">
        <v>207</v>
      </c>
      <c r="H61" s="2">
        <v>436.03699999999998</v>
      </c>
      <c r="I61" s="2" t="s">
        <v>236</v>
      </c>
      <c r="K61" s="2" t="s">
        <v>207</v>
      </c>
      <c r="L61" s="2">
        <v>436.03699999999998</v>
      </c>
      <c r="M61" s="12" t="str">
        <f t="shared" si="16"/>
        <v>Alpacem - CEM II/B-S 42,5 N (DZ)</v>
      </c>
      <c r="V61" s="105" t="s">
        <v>241</v>
      </c>
      <c r="W61" s="21">
        <v>436.03699999999998</v>
      </c>
      <c r="AB61" s="2" t="s">
        <v>207</v>
      </c>
      <c r="AG61" s="2">
        <v>482</v>
      </c>
    </row>
    <row r="62" spans="2:50" x14ac:dyDescent="0.25">
      <c r="B62" s="34">
        <v>0</v>
      </c>
      <c r="E62" s="2" t="s">
        <v>236</v>
      </c>
      <c r="G62" s="2" t="s">
        <v>208</v>
      </c>
      <c r="H62" s="2">
        <v>394.197</v>
      </c>
      <c r="I62" s="2" t="s">
        <v>236</v>
      </c>
      <c r="K62" s="2" t="s">
        <v>208</v>
      </c>
      <c r="L62" s="2">
        <v>394.197</v>
      </c>
      <c r="M62" s="12" t="str">
        <f t="shared" si="16"/>
        <v>Alpacem - CEM II/B-M (S-LL) 42,5 N</v>
      </c>
      <c r="V62" s="105" t="s">
        <v>242</v>
      </c>
      <c r="W62" s="21">
        <v>394.197</v>
      </c>
      <c r="AB62" s="2" t="s">
        <v>208</v>
      </c>
      <c r="AG62" s="2">
        <v>489.101</v>
      </c>
    </row>
    <row r="63" spans="2:50" x14ac:dyDescent="0.25">
      <c r="B63" s="34">
        <v>5</v>
      </c>
      <c r="E63" s="2" t="s">
        <v>236</v>
      </c>
      <c r="G63" s="2" t="s">
        <v>209</v>
      </c>
      <c r="H63" s="2">
        <v>390.96199999999999</v>
      </c>
      <c r="I63" s="2" t="s">
        <v>236</v>
      </c>
      <c r="K63" s="2" t="s">
        <v>209</v>
      </c>
      <c r="L63" s="2">
        <v>390.96199999999999</v>
      </c>
      <c r="M63" s="12" t="str">
        <f t="shared" si="16"/>
        <v>Alpacem - CEM II/B-M (P-S) 32,5 N</v>
      </c>
      <c r="V63" s="105" t="s">
        <v>243</v>
      </c>
      <c r="W63" s="21">
        <v>390.96199999999999</v>
      </c>
      <c r="AB63" s="2" t="s">
        <v>209</v>
      </c>
      <c r="AC63" s="2">
        <v>390.96199999999999</v>
      </c>
      <c r="AG63" s="121">
        <f>AVERAGE(AG57:AG62)</f>
        <v>476.43433333333337</v>
      </c>
      <c r="AH63" s="3">
        <f>_xlfn.STDEV.P(AG57:AG62)</f>
        <v>9.3839692857316788</v>
      </c>
    </row>
    <row r="64" spans="2:50" x14ac:dyDescent="0.25">
      <c r="B64" s="34">
        <v>10</v>
      </c>
      <c r="E64" s="2" t="s">
        <v>236</v>
      </c>
      <c r="G64" s="2" t="s">
        <v>210</v>
      </c>
      <c r="H64" s="2">
        <v>342.541</v>
      </c>
      <c r="I64" s="2" t="s">
        <v>236</v>
      </c>
      <c r="K64" s="2" t="s">
        <v>210</v>
      </c>
      <c r="L64" s="2">
        <v>342.541</v>
      </c>
      <c r="M64" s="12" t="str">
        <f t="shared" si="16"/>
        <v>Alpacem - CEM II/C-M (S-LL) 42,5 N</v>
      </c>
      <c r="V64" s="105" t="s">
        <v>244</v>
      </c>
      <c r="W64" s="21">
        <v>342.541</v>
      </c>
      <c r="AB64" s="2" t="s">
        <v>210</v>
      </c>
      <c r="AC64" s="2">
        <v>342.541</v>
      </c>
    </row>
    <row r="65" spans="2:34" x14ac:dyDescent="0.25">
      <c r="B65" s="34">
        <v>15</v>
      </c>
      <c r="E65" s="2" t="s">
        <v>236</v>
      </c>
      <c r="G65" s="2" t="s">
        <v>211</v>
      </c>
      <c r="H65" s="2">
        <v>342.65699999999998</v>
      </c>
      <c r="I65" s="2" t="s">
        <v>236</v>
      </c>
      <c r="K65" s="2" t="s">
        <v>211</v>
      </c>
      <c r="L65" s="2">
        <v>342.65699999999998</v>
      </c>
      <c r="M65" s="12" t="str">
        <f t="shared" si="16"/>
        <v>Alpacem - CEM II/C-M (S-LL) 32,5 N/R</v>
      </c>
      <c r="V65" s="105" t="s">
        <v>245</v>
      </c>
      <c r="W65" s="21">
        <v>342.65699999999998</v>
      </c>
      <c r="AB65" s="2" t="s">
        <v>211</v>
      </c>
      <c r="AC65" s="2">
        <v>342.65699999999998</v>
      </c>
    </row>
    <row r="66" spans="2:34" x14ac:dyDescent="0.25">
      <c r="B66" s="34">
        <v>20</v>
      </c>
      <c r="E66" s="2" t="s">
        <v>236</v>
      </c>
      <c r="I66" s="2" t="s">
        <v>236</v>
      </c>
      <c r="V66" s="105" t="s">
        <v>246</v>
      </c>
      <c r="W66" s="21">
        <v>389.70699999999999</v>
      </c>
    </row>
    <row r="67" spans="2:34" x14ac:dyDescent="0.25">
      <c r="B67" s="34">
        <v>25</v>
      </c>
      <c r="E67" s="2" t="s">
        <v>236</v>
      </c>
      <c r="H67" s="2" t="s">
        <v>213</v>
      </c>
      <c r="I67" s="2" t="s">
        <v>236</v>
      </c>
      <c r="L67" s="2" t="s">
        <v>213</v>
      </c>
      <c r="M67" s="2" t="s">
        <v>226</v>
      </c>
      <c r="V67" s="105" t="s">
        <v>249</v>
      </c>
      <c r="W67" s="21">
        <v>464.3</v>
      </c>
      <c r="AF67" s="2" t="s">
        <v>207</v>
      </c>
      <c r="AG67" s="2">
        <v>436.03699999999998</v>
      </c>
    </row>
    <row r="68" spans="2:34" x14ac:dyDescent="0.25">
      <c r="B68" s="34">
        <v>30</v>
      </c>
      <c r="E68" s="2" t="s">
        <v>236</v>
      </c>
      <c r="G68" s="2" t="s">
        <v>210</v>
      </c>
      <c r="H68" s="2">
        <v>389.70699999999999</v>
      </c>
      <c r="I68" s="2" t="s">
        <v>236</v>
      </c>
      <c r="K68" s="2" t="s">
        <v>210</v>
      </c>
      <c r="L68" s="2">
        <v>389.70699999999999</v>
      </c>
      <c r="M68" s="12" t="str">
        <f>$M$67&amp;" - "&amp;K68</f>
        <v>Baumit - CEM II/C-M (S-LL) 42,5 N</v>
      </c>
      <c r="V68" s="105" t="s">
        <v>250</v>
      </c>
      <c r="W68" s="21">
        <v>482</v>
      </c>
      <c r="AB68" s="2" t="s">
        <v>210</v>
      </c>
      <c r="AC68" s="2">
        <v>389.70699999999999</v>
      </c>
      <c r="AG68" s="121">
        <f>AVERAGE(AG67)</f>
        <v>436.03699999999998</v>
      </c>
      <c r="AH68" s="3">
        <f>_xlfn.STDEV.P(AG67)</f>
        <v>0</v>
      </c>
    </row>
    <row r="69" spans="2:34" x14ac:dyDescent="0.25">
      <c r="B69" s="34">
        <v>35</v>
      </c>
      <c r="E69" s="2" t="s">
        <v>236</v>
      </c>
      <c r="I69" s="2" t="s">
        <v>236</v>
      </c>
      <c r="V69" s="105" t="s">
        <v>251</v>
      </c>
      <c r="W69" s="21">
        <v>404.35899999999998</v>
      </c>
    </row>
    <row r="70" spans="2:34" x14ac:dyDescent="0.25">
      <c r="B70" s="34">
        <v>40</v>
      </c>
      <c r="E70" s="2" t="s">
        <v>236</v>
      </c>
      <c r="H70" s="2" t="s">
        <v>214</v>
      </c>
      <c r="I70" s="2" t="s">
        <v>236</v>
      </c>
      <c r="L70" s="2" t="s">
        <v>214</v>
      </c>
      <c r="M70" s="2" t="s">
        <v>227</v>
      </c>
      <c r="V70" s="105" t="s">
        <v>252</v>
      </c>
      <c r="W70" s="21">
        <v>409.87700000000001</v>
      </c>
    </row>
    <row r="71" spans="2:34" x14ac:dyDescent="0.25">
      <c r="B71" s="34">
        <v>45</v>
      </c>
      <c r="E71" s="2" t="s">
        <v>236</v>
      </c>
      <c r="G71" s="2" t="s">
        <v>215</v>
      </c>
      <c r="H71" s="2">
        <v>464.3</v>
      </c>
      <c r="I71" s="2" t="s">
        <v>236</v>
      </c>
      <c r="K71" s="2" t="s">
        <v>229</v>
      </c>
      <c r="L71" s="2">
        <v>464.3</v>
      </c>
      <c r="M71" s="12" t="str">
        <f>$M$70&amp;" - "&amp;K71</f>
        <v>Holcim - CEM II/A-S 42,5 R WT 42 – Werk Mannersdorf</v>
      </c>
      <c r="V71" s="105" t="s">
        <v>253</v>
      </c>
      <c r="W71" s="21">
        <v>404.35899999999998</v>
      </c>
      <c r="AB71" s="2" t="s">
        <v>229</v>
      </c>
    </row>
    <row r="72" spans="2:34" x14ac:dyDescent="0.25">
      <c r="B72" s="34">
        <v>50</v>
      </c>
      <c r="E72" s="2" t="s">
        <v>236</v>
      </c>
      <c r="G72" s="2" t="s">
        <v>216</v>
      </c>
      <c r="H72" s="2">
        <v>482</v>
      </c>
      <c r="I72" s="2" t="s">
        <v>236</v>
      </c>
      <c r="K72" s="2" t="s">
        <v>230</v>
      </c>
      <c r="L72" s="2">
        <v>482</v>
      </c>
      <c r="M72" s="12" t="str">
        <f t="shared" ref="M72:M77" si="17">$M$70&amp;" - "&amp;K72</f>
        <v>Holcim - CEM II/A-S 52,5 N WT 42 – Werk Retznei</v>
      </c>
      <c r="V72" s="105" t="s">
        <v>254</v>
      </c>
      <c r="W72" s="21">
        <v>315.36599999999999</v>
      </c>
      <c r="AB72" s="2" t="s">
        <v>230</v>
      </c>
    </row>
    <row r="73" spans="2:34" x14ac:dyDescent="0.25">
      <c r="B73" s="34">
        <v>55</v>
      </c>
      <c r="E73" s="2" t="s">
        <v>236</v>
      </c>
      <c r="G73" s="2" t="s">
        <v>217</v>
      </c>
      <c r="H73" s="2">
        <v>404.35899999999998</v>
      </c>
      <c r="I73" s="2" t="s">
        <v>236</v>
      </c>
      <c r="K73" s="2" t="s">
        <v>231</v>
      </c>
      <c r="L73" s="2">
        <v>404.35899999999998</v>
      </c>
      <c r="M73" s="12" t="str">
        <f t="shared" si="17"/>
        <v>Holcim - CEM II/B-M (S-L) 42,5 N WT 38 – Werk Mannersdorf</v>
      </c>
      <c r="V73" s="105" t="s">
        <v>255</v>
      </c>
      <c r="W73" s="21">
        <v>326.97399999999999</v>
      </c>
      <c r="AB73" s="2" t="s">
        <v>231</v>
      </c>
    </row>
    <row r="74" spans="2:34" x14ac:dyDescent="0.25">
      <c r="B74" s="34">
        <v>60</v>
      </c>
      <c r="E74" s="2" t="s">
        <v>236</v>
      </c>
      <c r="G74" s="2" t="s">
        <v>218</v>
      </c>
      <c r="H74" s="2">
        <v>409.87700000000001</v>
      </c>
      <c r="I74" s="2" t="s">
        <v>236</v>
      </c>
      <c r="K74" s="2" t="s">
        <v>232</v>
      </c>
      <c r="L74" s="2">
        <v>409.87700000000001</v>
      </c>
      <c r="M74" s="12" t="str">
        <f t="shared" si="17"/>
        <v>Holcim - CEM II/B-M (S-L) 42,5 N WT 38 – Werk Retznei</v>
      </c>
      <c r="V74" s="105" t="s">
        <v>247</v>
      </c>
      <c r="W74" s="21">
        <v>489.101</v>
      </c>
      <c r="AB74" s="2" t="s">
        <v>232</v>
      </c>
    </row>
    <row r="75" spans="2:34" x14ac:dyDescent="0.25">
      <c r="B75" s="34">
        <v>65</v>
      </c>
      <c r="E75" s="2" t="s">
        <v>236</v>
      </c>
      <c r="G75" s="2" t="s">
        <v>219</v>
      </c>
      <c r="H75" s="2">
        <v>404.35899999999998</v>
      </c>
      <c r="I75" s="2" t="s">
        <v>236</v>
      </c>
      <c r="K75" s="2" t="s">
        <v>233</v>
      </c>
      <c r="L75" s="2">
        <v>404.35899999999998</v>
      </c>
      <c r="M75" s="12" t="str">
        <f t="shared" si="17"/>
        <v>Holcim - CEM II/B-M (S-LL) 42,5 N WT 38 – Werk Mannersdorf</v>
      </c>
      <c r="V75" s="105" t="s">
        <v>248</v>
      </c>
      <c r="W75" s="21">
        <v>410.625</v>
      </c>
      <c r="AB75" s="2" t="s">
        <v>233</v>
      </c>
      <c r="AF75" s="2" t="s">
        <v>293</v>
      </c>
      <c r="AG75" s="2">
        <v>394.197</v>
      </c>
    </row>
    <row r="76" spans="2:34" x14ac:dyDescent="0.25">
      <c r="B76" s="34">
        <v>70</v>
      </c>
      <c r="E76" s="2" t="s">
        <v>236</v>
      </c>
      <c r="G76" s="2" t="s">
        <v>220</v>
      </c>
      <c r="H76" s="2">
        <v>315.36599999999999</v>
      </c>
      <c r="I76" s="2" t="s">
        <v>236</v>
      </c>
      <c r="K76" s="2" t="s">
        <v>234</v>
      </c>
      <c r="L76" s="2">
        <v>315.36599999999999</v>
      </c>
      <c r="M76" s="12" t="str">
        <f t="shared" si="17"/>
        <v>Holcim - CEM II/C-M (S-LL) 42,5 N – Werk Mannersdorf</v>
      </c>
      <c r="AB76" s="2" t="s">
        <v>234</v>
      </c>
      <c r="AC76" s="2">
        <v>315.36599999999999</v>
      </c>
      <c r="AG76" s="2">
        <v>404.35899999999998</v>
      </c>
    </row>
    <row r="77" spans="2:34" x14ac:dyDescent="0.25">
      <c r="B77" s="34">
        <v>75</v>
      </c>
      <c r="E77" s="2" t="s">
        <v>236</v>
      </c>
      <c r="G77" s="2" t="s">
        <v>221</v>
      </c>
      <c r="H77" s="2">
        <v>326.97399999999999</v>
      </c>
      <c r="I77" s="2" t="s">
        <v>236</v>
      </c>
      <c r="K77" s="2" t="s">
        <v>235</v>
      </c>
      <c r="L77" s="2">
        <v>326.97399999999999</v>
      </c>
      <c r="M77" s="12" t="str">
        <f t="shared" si="17"/>
        <v>Holcim - CEM II/C-M (S-F) 42,5 N – Werk Retznei</v>
      </c>
      <c r="AB77" s="2" t="s">
        <v>235</v>
      </c>
      <c r="AC77" s="2">
        <v>326.97399999999999</v>
      </c>
      <c r="AG77" s="2">
        <v>409.87700000000001</v>
      </c>
    </row>
    <row r="78" spans="2:34" x14ac:dyDescent="0.25">
      <c r="B78" s="34">
        <v>80</v>
      </c>
      <c r="E78" s="2" t="s">
        <v>236</v>
      </c>
      <c r="I78" s="2" t="s">
        <v>236</v>
      </c>
      <c r="AG78" s="2">
        <v>404.35899999999998</v>
      </c>
    </row>
    <row r="79" spans="2:34" x14ac:dyDescent="0.25">
      <c r="B79" s="34">
        <v>85</v>
      </c>
      <c r="E79" s="2" t="s">
        <v>236</v>
      </c>
      <c r="H79" s="2" t="s">
        <v>222</v>
      </c>
      <c r="I79" s="2" t="s">
        <v>236</v>
      </c>
      <c r="L79" s="2" t="s">
        <v>222</v>
      </c>
      <c r="M79" s="2" t="s">
        <v>228</v>
      </c>
      <c r="AG79" s="2">
        <v>410.625</v>
      </c>
    </row>
    <row r="80" spans="2:34" x14ac:dyDescent="0.25">
      <c r="B80" s="34">
        <v>90</v>
      </c>
      <c r="E80" s="2" t="s">
        <v>236</v>
      </c>
      <c r="G80" s="2" t="s">
        <v>223</v>
      </c>
      <c r="H80" s="2">
        <v>489.101</v>
      </c>
      <c r="I80" s="2" t="s">
        <v>236</v>
      </c>
      <c r="K80" s="2" t="s">
        <v>223</v>
      </c>
      <c r="L80" s="2">
        <v>489.101</v>
      </c>
      <c r="M80" s="12" t="str">
        <f>$M$79&amp;" - "&amp;K80</f>
        <v>Leube - CEM II/A-S 42,5 R WT 38</v>
      </c>
      <c r="AB80" s="2" t="s">
        <v>223</v>
      </c>
      <c r="AG80" s="121">
        <f>AVERAGE(AG75:AG79)</f>
        <v>404.68340000000001</v>
      </c>
      <c r="AH80" s="3">
        <f>_xlfn.STDEV.P(AG75:AG79)</f>
        <v>5.8728382780389943</v>
      </c>
    </row>
    <row r="81" spans="2:28" x14ac:dyDescent="0.25">
      <c r="B81" s="34">
        <v>95</v>
      </c>
      <c r="E81" s="2" t="s">
        <v>236</v>
      </c>
      <c r="G81" s="2" t="s">
        <v>224</v>
      </c>
      <c r="H81" s="2">
        <v>410.625</v>
      </c>
      <c r="I81" s="2" t="s">
        <v>236</v>
      </c>
      <c r="K81" s="2" t="s">
        <v>224</v>
      </c>
      <c r="L81" s="2">
        <v>410.625</v>
      </c>
      <c r="M81" s="12" t="str">
        <f>$M$79&amp;" - "&amp;K81</f>
        <v>Leube - CEM II/B-M (S-LL) 42,5 N WT 33</v>
      </c>
      <c r="AB81" s="2" t="s">
        <v>224</v>
      </c>
    </row>
    <row r="82" spans="2:28" x14ac:dyDescent="0.25">
      <c r="B82" s="34">
        <v>100</v>
      </c>
    </row>
    <row r="83" spans="2:28" x14ac:dyDescent="0.25">
      <c r="B83" s="34">
        <v>105</v>
      </c>
    </row>
    <row r="84" spans="2:28" x14ac:dyDescent="0.25">
      <c r="B84" s="34">
        <v>110</v>
      </c>
    </row>
    <row r="85" spans="2:28" x14ac:dyDescent="0.25">
      <c r="B85" s="34">
        <v>115</v>
      </c>
    </row>
    <row r="86" spans="2:28" x14ac:dyDescent="0.25">
      <c r="B86" s="34">
        <v>120</v>
      </c>
    </row>
    <row r="87" spans="2:28" ht="12.75" customHeight="1" x14ac:dyDescent="0.25">
      <c r="B87" s="34">
        <v>125</v>
      </c>
    </row>
    <row r="88" spans="2:28" ht="12.75" customHeight="1" x14ac:dyDescent="0.25">
      <c r="B88" s="34">
        <v>130</v>
      </c>
    </row>
    <row r="89" spans="2:28" x14ac:dyDescent="0.25">
      <c r="B89" s="34">
        <v>135</v>
      </c>
    </row>
    <row r="90" spans="2:28" x14ac:dyDescent="0.25">
      <c r="B90" s="34">
        <v>140</v>
      </c>
    </row>
    <row r="91" spans="2:28" x14ac:dyDescent="0.25">
      <c r="B91" s="34">
        <v>145</v>
      </c>
    </row>
    <row r="92" spans="2:28" x14ac:dyDescent="0.25">
      <c r="B92" s="34">
        <v>150</v>
      </c>
    </row>
    <row r="93" spans="2:28" x14ac:dyDescent="0.25">
      <c r="B93" s="34">
        <v>155</v>
      </c>
    </row>
    <row r="94" spans="2:28" x14ac:dyDescent="0.25">
      <c r="B94" s="34">
        <v>160</v>
      </c>
    </row>
    <row r="95" spans="2:28" x14ac:dyDescent="0.25">
      <c r="B95" s="34">
        <v>165</v>
      </c>
    </row>
    <row r="96" spans="2:28" x14ac:dyDescent="0.25">
      <c r="B96" s="34">
        <v>170</v>
      </c>
    </row>
    <row r="97" spans="2:2" x14ac:dyDescent="0.25">
      <c r="B97" s="34">
        <v>175</v>
      </c>
    </row>
    <row r="98" spans="2:2" x14ac:dyDescent="0.25">
      <c r="B98" s="34">
        <v>180</v>
      </c>
    </row>
    <row r="99" spans="2:2" x14ac:dyDescent="0.25">
      <c r="B99" s="34">
        <v>185</v>
      </c>
    </row>
    <row r="100" spans="2:2" x14ac:dyDescent="0.25">
      <c r="B100" s="34">
        <v>190</v>
      </c>
    </row>
    <row r="101" spans="2:2" x14ac:dyDescent="0.25">
      <c r="B101" s="34">
        <v>195</v>
      </c>
    </row>
    <row r="102" spans="2:2" x14ac:dyDescent="0.25">
      <c r="B102" s="34">
        <v>200</v>
      </c>
    </row>
    <row r="103" spans="2:2" x14ac:dyDescent="0.25">
      <c r="B103" s="34">
        <v>205</v>
      </c>
    </row>
    <row r="104" spans="2:2" x14ac:dyDescent="0.25">
      <c r="B104" s="34">
        <v>210</v>
      </c>
    </row>
    <row r="105" spans="2:2" x14ac:dyDescent="0.25">
      <c r="B105" s="34">
        <v>215</v>
      </c>
    </row>
    <row r="106" spans="2:2" x14ac:dyDescent="0.25">
      <c r="B106" s="34">
        <v>220</v>
      </c>
    </row>
    <row r="107" spans="2:2" x14ac:dyDescent="0.25">
      <c r="B107" s="34">
        <v>225</v>
      </c>
    </row>
    <row r="108" spans="2:2" x14ac:dyDescent="0.25">
      <c r="B108" s="34">
        <v>230</v>
      </c>
    </row>
    <row r="109" spans="2:2" x14ac:dyDescent="0.25">
      <c r="B109" s="34">
        <v>235</v>
      </c>
    </row>
    <row r="110" spans="2:2" x14ac:dyDescent="0.25">
      <c r="B110" s="34">
        <v>240</v>
      </c>
    </row>
    <row r="111" spans="2:2" x14ac:dyDescent="0.25">
      <c r="B111" s="34">
        <v>245</v>
      </c>
    </row>
    <row r="112" spans="2:2" x14ac:dyDescent="0.25">
      <c r="B112" s="34">
        <v>250</v>
      </c>
    </row>
    <row r="113" spans="2:2" x14ac:dyDescent="0.25">
      <c r="B113" s="34">
        <v>255</v>
      </c>
    </row>
    <row r="114" spans="2:2" x14ac:dyDescent="0.25">
      <c r="B114" s="34">
        <v>260</v>
      </c>
    </row>
    <row r="115" spans="2:2" x14ac:dyDescent="0.25">
      <c r="B115" s="34">
        <v>265</v>
      </c>
    </row>
    <row r="116" spans="2:2" x14ac:dyDescent="0.25">
      <c r="B116" s="34">
        <v>270</v>
      </c>
    </row>
    <row r="117" spans="2:2" x14ac:dyDescent="0.25">
      <c r="B117" s="34">
        <v>275</v>
      </c>
    </row>
    <row r="118" spans="2:2" x14ac:dyDescent="0.25">
      <c r="B118" s="34">
        <v>280</v>
      </c>
    </row>
    <row r="119" spans="2:2" x14ac:dyDescent="0.25">
      <c r="B119" s="34">
        <v>285</v>
      </c>
    </row>
    <row r="120" spans="2:2" x14ac:dyDescent="0.25">
      <c r="B120" s="34">
        <v>290</v>
      </c>
    </row>
    <row r="121" spans="2:2" x14ac:dyDescent="0.25">
      <c r="B121" s="34">
        <v>295</v>
      </c>
    </row>
    <row r="122" spans="2:2" x14ac:dyDescent="0.25">
      <c r="B122" s="34">
        <v>300</v>
      </c>
    </row>
    <row r="123" spans="2:2" x14ac:dyDescent="0.25">
      <c r="B123" s="34">
        <v>305</v>
      </c>
    </row>
    <row r="124" spans="2:2" x14ac:dyDescent="0.25">
      <c r="B124" s="34">
        <v>310</v>
      </c>
    </row>
    <row r="125" spans="2:2" x14ac:dyDescent="0.25">
      <c r="B125" s="34">
        <v>315</v>
      </c>
    </row>
    <row r="126" spans="2:2" x14ac:dyDescent="0.25">
      <c r="B126" s="34">
        <v>320</v>
      </c>
    </row>
    <row r="127" spans="2:2" x14ac:dyDescent="0.25">
      <c r="B127" s="34">
        <v>325</v>
      </c>
    </row>
    <row r="128" spans="2:2" x14ac:dyDescent="0.25">
      <c r="B128" s="34">
        <v>330</v>
      </c>
    </row>
    <row r="129" spans="2:2" x14ac:dyDescent="0.25">
      <c r="B129" s="34">
        <v>335</v>
      </c>
    </row>
    <row r="130" spans="2:2" x14ac:dyDescent="0.25">
      <c r="B130" s="34">
        <v>340</v>
      </c>
    </row>
    <row r="131" spans="2:2" x14ac:dyDescent="0.25">
      <c r="B131" s="34">
        <v>345</v>
      </c>
    </row>
    <row r="132" spans="2:2" x14ac:dyDescent="0.25">
      <c r="B132" s="34">
        <v>350</v>
      </c>
    </row>
    <row r="133" spans="2:2" x14ac:dyDescent="0.25">
      <c r="B133" s="34">
        <v>355</v>
      </c>
    </row>
    <row r="134" spans="2:2" x14ac:dyDescent="0.25">
      <c r="B134" s="34">
        <v>360</v>
      </c>
    </row>
    <row r="135" spans="2:2" x14ac:dyDescent="0.25">
      <c r="B135" s="34">
        <v>365</v>
      </c>
    </row>
    <row r="136" spans="2:2" x14ac:dyDescent="0.25">
      <c r="B136" s="34">
        <v>370</v>
      </c>
    </row>
    <row r="137" spans="2:2" x14ac:dyDescent="0.25">
      <c r="B137" s="34">
        <v>375</v>
      </c>
    </row>
    <row r="138" spans="2:2" x14ac:dyDescent="0.25">
      <c r="B138" s="34">
        <v>380</v>
      </c>
    </row>
    <row r="139" spans="2:2" x14ac:dyDescent="0.25">
      <c r="B139" s="34">
        <v>385</v>
      </c>
    </row>
    <row r="140" spans="2:2" x14ac:dyDescent="0.25">
      <c r="B140" s="34">
        <v>390</v>
      </c>
    </row>
    <row r="141" spans="2:2" x14ac:dyDescent="0.25">
      <c r="B141" s="34">
        <v>395</v>
      </c>
    </row>
    <row r="142" spans="2:2" x14ac:dyDescent="0.25">
      <c r="B142" s="34">
        <v>400</v>
      </c>
    </row>
    <row r="143" spans="2:2" x14ac:dyDescent="0.25">
      <c r="B143" s="34">
        <v>405</v>
      </c>
    </row>
    <row r="144" spans="2:2" x14ac:dyDescent="0.25">
      <c r="B144" s="34">
        <v>410</v>
      </c>
    </row>
    <row r="145" spans="2:2" x14ac:dyDescent="0.25">
      <c r="B145" s="34">
        <v>415</v>
      </c>
    </row>
    <row r="146" spans="2:2" x14ac:dyDescent="0.25">
      <c r="B146" s="34">
        <v>420</v>
      </c>
    </row>
    <row r="147" spans="2:2" x14ac:dyDescent="0.25">
      <c r="B147" s="34">
        <v>425</v>
      </c>
    </row>
    <row r="148" spans="2:2" x14ac:dyDescent="0.25">
      <c r="B148" s="34">
        <v>430</v>
      </c>
    </row>
    <row r="149" spans="2:2" x14ac:dyDescent="0.25">
      <c r="B149" s="34">
        <v>435</v>
      </c>
    </row>
    <row r="150" spans="2:2" x14ac:dyDescent="0.25">
      <c r="B150" s="34">
        <v>440</v>
      </c>
    </row>
    <row r="151" spans="2:2" x14ac:dyDescent="0.25">
      <c r="B151" s="34">
        <v>445</v>
      </c>
    </row>
    <row r="152" spans="2:2" x14ac:dyDescent="0.25">
      <c r="B152" s="34">
        <v>450</v>
      </c>
    </row>
    <row r="153" spans="2:2" x14ac:dyDescent="0.25">
      <c r="B153" s="34">
        <v>455</v>
      </c>
    </row>
    <row r="154" spans="2:2" x14ac:dyDescent="0.25">
      <c r="B154" s="34">
        <v>460</v>
      </c>
    </row>
    <row r="155" spans="2:2" x14ac:dyDescent="0.25">
      <c r="B155" s="34">
        <v>465</v>
      </c>
    </row>
    <row r="156" spans="2:2" x14ac:dyDescent="0.25">
      <c r="B156" s="34">
        <v>470</v>
      </c>
    </row>
    <row r="157" spans="2:2" x14ac:dyDescent="0.25">
      <c r="B157" s="34">
        <v>475</v>
      </c>
    </row>
    <row r="158" spans="2:2" x14ac:dyDescent="0.25">
      <c r="B158" s="34">
        <v>480</v>
      </c>
    </row>
    <row r="159" spans="2:2" x14ac:dyDescent="0.25">
      <c r="B159" s="34">
        <v>485</v>
      </c>
    </row>
    <row r="160" spans="2:2" x14ac:dyDescent="0.25">
      <c r="B160" s="34">
        <v>490</v>
      </c>
    </row>
    <row r="161" spans="2:2" x14ac:dyDescent="0.25">
      <c r="B161" s="34">
        <v>495</v>
      </c>
    </row>
    <row r="162" spans="2:2" x14ac:dyDescent="0.25">
      <c r="B162" s="34">
        <v>500</v>
      </c>
    </row>
  </sheetData>
  <sheetProtection algorithmName="SHA-512" hashValue="Yi3pbXx9tl2GtcgdLdUQ/78PeDitSuYeGakOofFmPvoXJ6F/OHHMa9i7CM0pzyeqLFVQgf426fbds3tB5ofmxA==" saltValue="RL0BUIwsciDbIrx6pZi8yg==" spinCount="100000" sheet="1" objects="1" scenarios="1" selectLockedCells="1" selectUnlockedCells="1"/>
  <mergeCells count="6">
    <mergeCell ref="BK1:BL1"/>
    <mergeCell ref="BN1:BO1"/>
    <mergeCell ref="E23:AA23"/>
    <mergeCell ref="AE23:AX23"/>
    <mergeCell ref="M27:O30"/>
    <mergeCell ref="BH1:BI1"/>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Eingabemaske</vt:lpstr>
      <vt:lpstr>Berechnung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dc:creator>
  <cp:lastModifiedBy>Gruber, Michael Ronald</cp:lastModifiedBy>
  <dcterms:created xsi:type="dcterms:W3CDTF">2021-10-11T13:51:09Z</dcterms:created>
  <dcterms:modified xsi:type="dcterms:W3CDTF">2024-08-21T08:13:35Z</dcterms:modified>
</cp:coreProperties>
</file>