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mc:AlternateContent xmlns:mc="http://schemas.openxmlformats.org/markup-compatibility/2006">
    <mc:Choice Requires="x15">
      <x15ac:absPath xmlns:x15ac="http://schemas.microsoft.com/office/spreadsheetml/2010/11/ac" url="I:\BMG\AS_ENG\11_Straßenoberbau\RAP-Tool\RAP-Tool_Erweiterung_20230904\"/>
    </mc:Choice>
  </mc:AlternateContent>
  <xr:revisionPtr revIDLastSave="0" documentId="8_{76ABA490-C8C3-419A-95A8-C61490422287}" xr6:coauthVersionLast="47" xr6:coauthVersionMax="47" xr10:uidLastSave="{00000000-0000-0000-0000-000000000000}"/>
  <workbookProtection workbookAlgorithmName="SHA-512" workbookHashValue="ls9IodumsM0jkseP+YOxJxoBj4vA2kKKAOpzDFM3wCy9qMv3sHTp9J5GaOIUYprBnBJnVv0Mxw1shE3hHhoNmw==" workbookSaltValue="Iu8wBZTQrAyzhH1Dog0FWw==" workbookSpinCount="100000" lockStructure="1"/>
  <bookViews>
    <workbookView xWindow="-108" yWindow="-108" windowWidth="23256" windowHeight="13896" xr2:uid="{858AFA4F-EAB9-47B9-BD8C-CB9A1DC7C6F7}"/>
  </bookViews>
  <sheets>
    <sheet name="Eingabemaske" sheetId="4" r:id="rId1"/>
    <sheet name="eingabefelder" sheetId="10" state="hidden" r:id="rId2"/>
    <sheet name="berechnung"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 l="1"/>
  <c r="C22" i="8"/>
  <c r="C18" i="8"/>
  <c r="C16" i="8"/>
  <c r="C14" i="8"/>
  <c r="C12" i="8"/>
  <c r="C10" i="8"/>
  <c r="C9" i="8"/>
  <c r="C32" i="8"/>
  <c r="C30" i="8"/>
  <c r="C28" i="8"/>
  <c r="C26" i="8"/>
  <c r="Q11" i="8"/>
  <c r="Q12" i="8" s="1"/>
  <c r="Q13" i="8" s="1"/>
  <c r="Q14" i="8" s="1"/>
  <c r="Q15" i="8" s="1"/>
  <c r="Q16" i="8" s="1"/>
  <c r="Q17" i="8" s="1"/>
  <c r="Q18" i="8" s="1"/>
  <c r="Q19" i="8" s="1"/>
  <c r="Q20" i="8" s="1"/>
  <c r="Q21" i="8" s="1"/>
  <c r="Q22" i="8" s="1"/>
  <c r="Q23" i="8" s="1"/>
  <c r="Q24" i="8" s="1"/>
  <c r="Q25" i="8" s="1"/>
  <c r="Q26" i="8" s="1"/>
  <c r="Q27" i="8" s="1"/>
  <c r="Q28" i="8" s="1"/>
  <c r="Q29" i="8" s="1"/>
  <c r="Q30" i="8" s="1"/>
  <c r="M11" i="8"/>
  <c r="M12" i="8" s="1"/>
  <c r="U11" i="8"/>
  <c r="U12" i="8" s="1"/>
  <c r="U13" i="8" s="1"/>
  <c r="U14" i="8" s="1"/>
  <c r="U15" i="8" s="1"/>
  <c r="U16" i="8" s="1"/>
  <c r="U17" i="8" s="1"/>
  <c r="U18" i="8" s="1"/>
  <c r="U19" i="8" s="1"/>
  <c r="U20" i="8" s="1"/>
  <c r="U21" i="8" s="1"/>
  <c r="U22" i="8" s="1"/>
  <c r="U23" i="8" s="1"/>
  <c r="U24" i="8" s="1"/>
  <c r="U25" i="8" s="1"/>
  <c r="U26" i="8" s="1"/>
  <c r="U27" i="8" s="1"/>
  <c r="U28" i="8" s="1"/>
  <c r="U29" i="8" s="1"/>
  <c r="U30" i="8" s="1"/>
  <c r="M13" i="8" l="1"/>
  <c r="M14" i="8" s="1"/>
  <c r="M15" i="8" s="1"/>
  <c r="M16" i="8" s="1"/>
  <c r="M17" i="8" s="1"/>
  <c r="M18" i="8" s="1"/>
  <c r="M19" i="8" s="1"/>
  <c r="M20" i="8" s="1"/>
  <c r="M21" i="8" s="1"/>
  <c r="M22" i="8" s="1"/>
  <c r="M23" i="8" s="1"/>
  <c r="M24" i="8" s="1"/>
  <c r="M25" i="8" s="1"/>
  <c r="M26" i="8" s="1"/>
  <c r="M27" i="8" s="1"/>
  <c r="M28" i="8" s="1"/>
  <c r="M29" i="8" s="1"/>
  <c r="M30" i="8" s="1"/>
  <c r="P7" i="8"/>
  <c r="I7" i="8"/>
  <c r="F16" i="4"/>
  <c r="DD7" i="8"/>
  <c r="G40" i="4" l="1"/>
  <c r="G38" i="4"/>
  <c r="G34" i="4"/>
  <c r="G32" i="4"/>
  <c r="D40" i="4"/>
  <c r="D38" i="4"/>
  <c r="D34" i="4"/>
  <c r="D32" i="4"/>
  <c r="K67" i="8"/>
  <c r="K68" i="8"/>
  <c r="K69" i="8"/>
  <c r="K70" i="8"/>
  <c r="K72" i="8"/>
  <c r="K75" i="8"/>
  <c r="K76" i="8"/>
  <c r="K77" i="8"/>
  <c r="K78" i="8"/>
  <c r="K79" i="8"/>
  <c r="K80" i="8"/>
  <c r="K66" i="8"/>
  <c r="G370" i="8" l="1"/>
  <c r="F353" i="8" l="1"/>
  <c r="F360" i="8"/>
  <c r="F346" i="8"/>
  <c r="H346" i="8" s="1"/>
  <c r="T322" i="8"/>
  <c r="F357" i="8" l="1"/>
  <c r="F359" i="8" s="1"/>
  <c r="F361" i="8" s="1"/>
  <c r="F362" i="8" s="1"/>
  <c r="D83" i="8" s="1"/>
  <c r="F350" i="8"/>
  <c r="F352" i="8" s="1"/>
  <c r="T323" i="8"/>
  <c r="T324" i="8" s="1"/>
  <c r="T326" i="8" s="1"/>
  <c r="T327" i="8" s="1"/>
  <c r="D73" i="8" s="1"/>
  <c r="CY11" i="8"/>
  <c r="CY12" i="8" s="1"/>
  <c r="CY13" i="8" s="1"/>
  <c r="CY14" i="8" s="1"/>
  <c r="CY15" i="8" s="1"/>
  <c r="CY16" i="8" s="1"/>
  <c r="CY17" i="8" s="1"/>
  <c r="CY18" i="8" s="1"/>
  <c r="CY19" i="8" s="1"/>
  <c r="CY20" i="8" s="1"/>
  <c r="CY21" i="8" s="1"/>
  <c r="CY22" i="8" s="1"/>
  <c r="CY23" i="8" s="1"/>
  <c r="CY24" i="8" s="1"/>
  <c r="CY25" i="8" s="1"/>
  <c r="CY26" i="8" s="1"/>
  <c r="CY27" i="8" s="1"/>
  <c r="CY28" i="8" s="1"/>
  <c r="CY29" i="8" s="1"/>
  <c r="CY30" i="8" s="1"/>
  <c r="CD7" i="8"/>
  <c r="CC7" i="8"/>
  <c r="CB7" i="8"/>
  <c r="CA7" i="8"/>
  <c r="BY7" i="8"/>
  <c r="BP7" i="8"/>
  <c r="BT7" i="8"/>
  <c r="BS7" i="8"/>
  <c r="BR7" i="8"/>
  <c r="L326" i="8"/>
  <c r="L323" i="8"/>
  <c r="L325" i="8" s="1"/>
  <c r="K73" i="8" l="1"/>
  <c r="F354" i="8"/>
  <c r="F355" i="8" s="1"/>
  <c r="D84" i="8" s="1"/>
  <c r="L327" i="8"/>
  <c r="L328" i="8" s="1"/>
  <c r="D82" i="8" s="1"/>
  <c r="BX7" i="8"/>
  <c r="BZ7" i="8"/>
  <c r="BO7" i="8"/>
  <c r="BH7" i="8"/>
  <c r="BF7" i="8"/>
  <c r="S289" i="8"/>
  <c r="S288" i="8"/>
  <c r="E309" i="8"/>
  <c r="G309" i="8" s="1"/>
  <c r="E308" i="8"/>
  <c r="G308" i="8" s="1"/>
  <c r="F28" i="4"/>
  <c r="E28" i="4"/>
  <c r="D28" i="4"/>
  <c r="K39" i="8" s="1"/>
  <c r="BL7" i="8"/>
  <c r="BK7" i="8"/>
  <c r="BJ7" i="8"/>
  <c r="BI7" i="8"/>
  <c r="BG7" i="8"/>
  <c r="G11" i="8"/>
  <c r="AU43" i="8"/>
  <c r="AU44" i="8" s="1"/>
  <c r="AU45" i="8" s="1"/>
  <c r="AU46" i="8" s="1"/>
  <c r="AU47" i="8" s="1"/>
  <c r="AU48" i="8" s="1"/>
  <c r="AU49" i="8" s="1"/>
  <c r="AU50" i="8" s="1"/>
  <c r="AU51" i="8" s="1"/>
  <c r="AU52" i="8" s="1"/>
  <c r="AU53" i="8" s="1"/>
  <c r="AU54" i="8" s="1"/>
  <c r="AU55" i="8" s="1"/>
  <c r="AU56" i="8" s="1"/>
  <c r="AU57" i="8" s="1"/>
  <c r="AU58" i="8" s="1"/>
  <c r="AU59" i="8" s="1"/>
  <c r="AU60" i="8" s="1"/>
  <c r="AU61" i="8" s="1"/>
  <c r="AU62" i="8" s="1"/>
  <c r="AU63" i="8" s="1"/>
  <c r="Z7" i="8"/>
  <c r="K38" i="8"/>
  <c r="D81" i="8"/>
  <c r="BC7" i="8"/>
  <c r="BB7" i="8"/>
  <c r="AA11" i="8"/>
  <c r="AA12" i="8" s="1"/>
  <c r="AA13" i="8" s="1"/>
  <c r="AA14" i="8" s="1"/>
  <c r="AA15" i="8" s="1"/>
  <c r="AA16" i="8" s="1"/>
  <c r="AA17" i="8" s="1"/>
  <c r="AA18" i="8" s="1"/>
  <c r="AA19" i="8" s="1"/>
  <c r="AA20" i="8" s="1"/>
  <c r="AA21" i="8" s="1"/>
  <c r="AA22" i="8" s="1"/>
  <c r="AA23" i="8" s="1"/>
  <c r="AA24" i="8" s="1"/>
  <c r="AA25" i="8" s="1"/>
  <c r="AA26" i="8" s="1"/>
  <c r="AA27" i="8" s="1"/>
  <c r="AA28" i="8" s="1"/>
  <c r="AA29" i="8" s="1"/>
  <c r="AA30" i="8" s="1"/>
  <c r="R7" i="8"/>
  <c r="X7" i="8"/>
  <c r="J74" i="8"/>
  <c r="L68" i="8"/>
  <c r="L69" i="8"/>
  <c r="L70" i="8"/>
  <c r="L72" i="8"/>
  <c r="L73" i="8"/>
  <c r="L75" i="8"/>
  <c r="L76" i="8"/>
  <c r="L77" i="8"/>
  <c r="L78" i="8"/>
  <c r="L79" i="8"/>
  <c r="L80" i="8"/>
  <c r="D71" i="8"/>
  <c r="H12" i="4"/>
  <c r="AW7" i="8"/>
  <c r="CO11" i="8"/>
  <c r="E74" i="8"/>
  <c r="C74" i="8"/>
  <c r="D74" i="8"/>
  <c r="C20" i="8" s="1"/>
  <c r="I253" i="8"/>
  <c r="E254" i="8"/>
  <c r="E253" i="8"/>
  <c r="D257" i="8" s="1"/>
  <c r="O244" i="8"/>
  <c r="N244" i="8"/>
  <c r="I244" i="8"/>
  <c r="I245" i="8" s="1"/>
  <c r="H244" i="8"/>
  <c r="H245" i="8" s="1"/>
  <c r="J182" i="8"/>
  <c r="J181" i="8"/>
  <c r="F208" i="8"/>
  <c r="F207" i="8"/>
  <c r="F206" i="8"/>
  <c r="F205" i="8"/>
  <c r="F204" i="8"/>
  <c r="F203" i="8"/>
  <c r="G194" i="8"/>
  <c r="I194" i="8" s="1"/>
  <c r="F191" i="8"/>
  <c r="T181" i="8"/>
  <c r="V181" i="8" s="1"/>
  <c r="T180" i="8"/>
  <c r="V180" i="8" s="1"/>
  <c r="T179" i="8"/>
  <c r="V179" i="8" s="1"/>
  <c r="P174" i="8"/>
  <c r="J184" i="8"/>
  <c r="N160" i="8"/>
  <c r="O160" i="8"/>
  <c r="P160" i="8"/>
  <c r="R160" i="8"/>
  <c r="S160" i="8"/>
  <c r="T160" i="8"/>
  <c r="U160" i="8"/>
  <c r="Q160" i="8"/>
  <c r="G21" i="8"/>
  <c r="G54" i="8" s="1"/>
  <c r="G22" i="8"/>
  <c r="G55" i="8" s="1"/>
  <c r="G23" i="8"/>
  <c r="G56" i="8" s="1"/>
  <c r="G24" i="8"/>
  <c r="G57" i="8" s="1"/>
  <c r="G25" i="8"/>
  <c r="G58" i="8" s="1"/>
  <c r="G26" i="8"/>
  <c r="G59" i="8" s="1"/>
  <c r="G27" i="8"/>
  <c r="G60" i="8" s="1"/>
  <c r="G28" i="8"/>
  <c r="G61" i="8" s="1"/>
  <c r="G29" i="8"/>
  <c r="G62" i="8" s="1"/>
  <c r="G30" i="8"/>
  <c r="G63" i="8" s="1"/>
  <c r="X16" i="8" l="1"/>
  <c r="CK16" i="8" s="1"/>
  <c r="X22" i="8"/>
  <c r="CK22" i="8" s="1"/>
  <c r="X28" i="8"/>
  <c r="CK28" i="8" s="1"/>
  <c r="X12" i="8"/>
  <c r="CK12" i="8" s="1"/>
  <c r="X24" i="8"/>
  <c r="CK24" i="8" s="1"/>
  <c r="X13" i="8"/>
  <c r="CK13" i="8" s="1"/>
  <c r="X10" i="8"/>
  <c r="CK10" i="8" s="1"/>
  <c r="X14" i="8"/>
  <c r="CK14" i="8" s="1"/>
  <c r="X11" i="8"/>
  <c r="CK11" i="8" s="1"/>
  <c r="X17" i="8"/>
  <c r="CK17" i="8" s="1"/>
  <c r="X23" i="8"/>
  <c r="CK23" i="8" s="1"/>
  <c r="X29" i="8"/>
  <c r="CK29" i="8" s="1"/>
  <c r="X30" i="8"/>
  <c r="CK30" i="8" s="1"/>
  <c r="X25" i="8"/>
  <c r="CK25" i="8" s="1"/>
  <c r="X20" i="8"/>
  <c r="CK20" i="8" s="1"/>
  <c r="X18" i="8"/>
  <c r="CK18" i="8" s="1"/>
  <c r="X19" i="8"/>
  <c r="CK19" i="8" s="1"/>
  <c r="X15" i="8"/>
  <c r="CK15" i="8" s="1"/>
  <c r="X21" i="8"/>
  <c r="CK21" i="8" s="1"/>
  <c r="X27" i="8"/>
  <c r="CK27" i="8" s="1"/>
  <c r="X26" i="8"/>
  <c r="CK26" i="8" s="1"/>
  <c r="Z11" i="8"/>
  <c r="CL11" i="8" s="1"/>
  <c r="Z12" i="8"/>
  <c r="CL12" i="8" s="1"/>
  <c r="Z13" i="8"/>
  <c r="CL13" i="8" s="1"/>
  <c r="Z19" i="8"/>
  <c r="CL19" i="8" s="1"/>
  <c r="Z25" i="8"/>
  <c r="CL25" i="8" s="1"/>
  <c r="Z10" i="8"/>
  <c r="CL10" i="8" s="1"/>
  <c r="Z20" i="8"/>
  <c r="CL20" i="8" s="1"/>
  <c r="Z21" i="8"/>
  <c r="CL21" i="8" s="1"/>
  <c r="Z14" i="8"/>
  <c r="CL14" i="8" s="1"/>
  <c r="Z15" i="8"/>
  <c r="CL15" i="8" s="1"/>
  <c r="Z16" i="8"/>
  <c r="CL16" i="8" s="1"/>
  <c r="Z22" i="8"/>
  <c r="CL22" i="8" s="1"/>
  <c r="Z28" i="8"/>
  <c r="CL28" i="8" s="1"/>
  <c r="Z17" i="8"/>
  <c r="CL17" i="8" s="1"/>
  <c r="Z23" i="8"/>
  <c r="CL23" i="8" s="1"/>
  <c r="Z29" i="8"/>
  <c r="CL29" i="8" s="1"/>
  <c r="Z18" i="8"/>
  <c r="CL18" i="8" s="1"/>
  <c r="Z24" i="8"/>
  <c r="CL24" i="8" s="1"/>
  <c r="Z30" i="8"/>
  <c r="CL30" i="8" s="1"/>
  <c r="Z26" i="8"/>
  <c r="CL26" i="8" s="1"/>
  <c r="Z27" i="8"/>
  <c r="CL27" i="8" s="1"/>
  <c r="L71" i="8"/>
  <c r="K71" i="8"/>
  <c r="L74" i="8"/>
  <c r="K74" i="8"/>
  <c r="CO12" i="8"/>
  <c r="CO13" i="8" s="1"/>
  <c r="CO14" i="8" s="1"/>
  <c r="CO15" i="8" s="1"/>
  <c r="CO16" i="8" s="1"/>
  <c r="CO17" i="8" s="1"/>
  <c r="CO18" i="8" s="1"/>
  <c r="CO19" i="8" s="1"/>
  <c r="CO20" i="8" s="1"/>
  <c r="CO21" i="8" s="1"/>
  <c r="CO22" i="8" s="1"/>
  <c r="CO23" i="8" s="1"/>
  <c r="CO24" i="8" s="1"/>
  <c r="CO25" i="8" s="1"/>
  <c r="CO26" i="8" s="1"/>
  <c r="CO27" i="8" s="1"/>
  <c r="CO28" i="8" s="1"/>
  <c r="CO29" i="8" s="1"/>
  <c r="CO30" i="8" s="1"/>
  <c r="BQ7" i="8"/>
  <c r="BU7" i="8"/>
  <c r="G310" i="8"/>
  <c r="N253" i="8"/>
  <c r="N254" i="8" s="1"/>
  <c r="N255" i="8" s="1"/>
  <c r="N247" i="8"/>
  <c r="N248" i="8" s="1"/>
  <c r="N249" i="8" s="1"/>
  <c r="E257" i="8"/>
  <c r="AB7" i="8"/>
  <c r="AD7" i="8" s="1"/>
  <c r="D13" i="4" s="1"/>
  <c r="AG7" i="8"/>
  <c r="U163" i="8"/>
  <c r="T164" i="8"/>
  <c r="U164" i="8"/>
  <c r="T163" i="8"/>
  <c r="V163" i="8" s="1"/>
  <c r="G13" i="8"/>
  <c r="G14" i="8"/>
  <c r="G47" i="8" s="1"/>
  <c r="G15" i="8"/>
  <c r="G48" i="8" s="1"/>
  <c r="G16" i="8"/>
  <c r="G49" i="8" s="1"/>
  <c r="G17" i="8"/>
  <c r="G50" i="8" s="1"/>
  <c r="G18" i="8"/>
  <c r="G51" i="8" s="1"/>
  <c r="G19" i="8"/>
  <c r="G52" i="8" s="1"/>
  <c r="G20" i="8"/>
  <c r="G44" i="8"/>
  <c r="G46" i="8" l="1"/>
  <c r="E16" i="4" l="1"/>
  <c r="AF78" i="8" l="1"/>
  <c r="AG79" i="8"/>
  <c r="AH79" i="8"/>
  <c r="AF81" i="8" l="1"/>
  <c r="AF82" i="8"/>
  <c r="AF83" i="8"/>
  <c r="AF80" i="8"/>
  <c r="AB80" i="8"/>
  <c r="AC80" i="8"/>
  <c r="AD80" i="8"/>
  <c r="AH80" i="8" s="1"/>
  <c r="AB81" i="8"/>
  <c r="AC81" i="8"/>
  <c r="AD81" i="8"/>
  <c r="AH81" i="8" s="1"/>
  <c r="AB82" i="8"/>
  <c r="AC82" i="8"/>
  <c r="AD82" i="8"/>
  <c r="AH82" i="8" s="1"/>
  <c r="AB83" i="8"/>
  <c r="AC83" i="8"/>
  <c r="AD83" i="8"/>
  <c r="AH83" i="8" s="1"/>
  <c r="AA81" i="8"/>
  <c r="AG81" i="8" s="1"/>
  <c r="AA82" i="8"/>
  <c r="AG82" i="8" s="1"/>
  <c r="AA83" i="8"/>
  <c r="AG83" i="8" s="1"/>
  <c r="AA80" i="8"/>
  <c r="AG80" i="8" s="1"/>
  <c r="M39" i="8"/>
  <c r="M38" i="8"/>
  <c r="I39" i="8"/>
  <c r="I38" i="8"/>
  <c r="G39" i="8"/>
  <c r="G38" i="8"/>
  <c r="AX7" i="8"/>
  <c r="AY7" i="8"/>
  <c r="AZ7" i="8"/>
  <c r="BA7" i="8"/>
  <c r="V7" i="8"/>
  <c r="N7" i="8"/>
  <c r="L7" i="8"/>
  <c r="K7" i="8"/>
  <c r="M40" i="8" l="1"/>
  <c r="I40" i="8"/>
  <c r="G40" i="8"/>
  <c r="K28" i="8"/>
  <c r="R28" i="8" s="1"/>
  <c r="K25" i="8"/>
  <c r="R25" i="8" s="1"/>
  <c r="K21" i="8"/>
  <c r="R21" i="8" s="1"/>
  <c r="K23" i="8"/>
  <c r="R23" i="8" s="1"/>
  <c r="K24" i="8"/>
  <c r="R24" i="8" s="1"/>
  <c r="K30" i="8"/>
  <c r="R30" i="8" s="1"/>
  <c r="K26" i="8"/>
  <c r="R26" i="8" s="1"/>
  <c r="K29" i="8"/>
  <c r="R29" i="8" s="1"/>
  <c r="K27" i="8"/>
  <c r="R27" i="8" s="1"/>
  <c r="K22" i="8"/>
  <c r="R22" i="8" s="1"/>
  <c r="H29" i="8"/>
  <c r="H21" i="8"/>
  <c r="H23" i="8"/>
  <c r="H25" i="8"/>
  <c r="H24" i="8"/>
  <c r="H27" i="8"/>
  <c r="H30" i="8"/>
  <c r="H28" i="8"/>
  <c r="H22" i="8"/>
  <c r="H26" i="8"/>
  <c r="L23" i="8"/>
  <c r="L28" i="8"/>
  <c r="L21" i="8"/>
  <c r="V21" i="8" s="1"/>
  <c r="CJ21" i="8" s="1"/>
  <c r="L26" i="8"/>
  <c r="V26" i="8" s="1"/>
  <c r="CJ26" i="8" s="1"/>
  <c r="L25" i="8"/>
  <c r="L27" i="8"/>
  <c r="V27" i="8" s="1"/>
  <c r="CJ27" i="8" s="1"/>
  <c r="L29" i="8"/>
  <c r="V29" i="8" s="1"/>
  <c r="CJ29" i="8" s="1"/>
  <c r="L30" i="8"/>
  <c r="V30" i="8" s="1"/>
  <c r="CJ30" i="8" s="1"/>
  <c r="L24" i="8"/>
  <c r="L22" i="8"/>
  <c r="AV44" i="8"/>
  <c r="AW44" i="8" s="1"/>
  <c r="AV46" i="8"/>
  <c r="AW46" i="8" s="1"/>
  <c r="AV47" i="8"/>
  <c r="AW47" i="8" s="1"/>
  <c r="AV48" i="8"/>
  <c r="AW48" i="8" s="1"/>
  <c r="AV49" i="8"/>
  <c r="AW49" i="8" s="1"/>
  <c r="AV50" i="8"/>
  <c r="AW50" i="8" s="1"/>
  <c r="K14" i="8"/>
  <c r="R14" i="8" s="1"/>
  <c r="K17" i="8"/>
  <c r="R17" i="8" s="1"/>
  <c r="K20" i="8"/>
  <c r="R20" i="8" s="1"/>
  <c r="K13" i="8"/>
  <c r="R13" i="8" s="1"/>
  <c r="K16" i="8"/>
  <c r="R16" i="8" s="1"/>
  <c r="K19" i="8"/>
  <c r="R19" i="8" s="1"/>
  <c r="K11" i="8"/>
  <c r="R11" i="8" s="1"/>
  <c r="K15" i="8"/>
  <c r="R15" i="8" s="1"/>
  <c r="K18" i="8"/>
  <c r="R18" i="8" s="1"/>
  <c r="L17" i="8"/>
  <c r="L19" i="8"/>
  <c r="L13" i="8"/>
  <c r="V13" i="8" s="1"/>
  <c r="CJ13" i="8" s="1"/>
  <c r="L20" i="8"/>
  <c r="L14" i="8"/>
  <c r="V14" i="8" s="1"/>
  <c r="L16" i="8"/>
  <c r="V16" i="8" s="1"/>
  <c r="CJ16" i="8" s="1"/>
  <c r="L15" i="8"/>
  <c r="L18" i="8"/>
  <c r="L11" i="8"/>
  <c r="H19" i="8"/>
  <c r="H15" i="8"/>
  <c r="H18" i="8"/>
  <c r="H16" i="8"/>
  <c r="H20" i="8"/>
  <c r="H17" i="8"/>
  <c r="CG17" i="8" s="1"/>
  <c r="H11" i="8"/>
  <c r="H14" i="8"/>
  <c r="H13" i="8"/>
  <c r="AV43" i="8"/>
  <c r="AW43" i="8" s="1"/>
  <c r="AV45" i="8"/>
  <c r="AW45" i="8" s="1"/>
  <c r="K40" i="8"/>
  <c r="L38" i="8"/>
  <c r="L40" i="8" s="1"/>
  <c r="J38" i="8"/>
  <c r="J40" i="8" s="1"/>
  <c r="H38" i="8"/>
  <c r="H40" i="8" s="1"/>
  <c r="AM7" i="8"/>
  <c r="AL7" i="8"/>
  <c r="AK7" i="8"/>
  <c r="AH7" i="8"/>
  <c r="AF7" i="8"/>
  <c r="J7" i="8"/>
  <c r="J13" i="8" s="1"/>
  <c r="G12" i="8"/>
  <c r="G10" i="8"/>
  <c r="K10" i="8" s="1"/>
  <c r="R10" i="8" s="1"/>
  <c r="C36" i="8" l="1"/>
  <c r="CJ14" i="8"/>
  <c r="M49" i="8"/>
  <c r="AQ49" i="8" s="1"/>
  <c r="AZ49" i="8" s="1"/>
  <c r="M62" i="8"/>
  <c r="AQ62" i="8" s="1"/>
  <c r="AZ62" i="8" s="1"/>
  <c r="M47" i="8"/>
  <c r="AQ47" i="8" s="1"/>
  <c r="AZ47" i="8" s="1"/>
  <c r="M60" i="8"/>
  <c r="AD60" i="8" s="1"/>
  <c r="AN60" i="8" s="1"/>
  <c r="AO60" i="8" s="1"/>
  <c r="M63" i="8"/>
  <c r="AQ63" i="8" s="1"/>
  <c r="AZ63" i="8" s="1"/>
  <c r="BC63" i="8" s="1"/>
  <c r="M46" i="8"/>
  <c r="AD46" i="8" s="1"/>
  <c r="AN46" i="8" s="1"/>
  <c r="AP46" i="8" s="1"/>
  <c r="M59" i="8"/>
  <c r="AD59" i="8" s="1"/>
  <c r="AN59" i="8" s="1"/>
  <c r="AP59" i="8" s="1"/>
  <c r="M54" i="8"/>
  <c r="AQ54" i="8" s="1"/>
  <c r="AZ54" i="8" s="1"/>
  <c r="AT10" i="8"/>
  <c r="AU10" i="8"/>
  <c r="AU18" i="8"/>
  <c r="AT18" i="8"/>
  <c r="AT14" i="8"/>
  <c r="AU14" i="8"/>
  <c r="AU24" i="8"/>
  <c r="AT24" i="8"/>
  <c r="AT11" i="8"/>
  <c r="AU11" i="8"/>
  <c r="AT22" i="8"/>
  <c r="AU22" i="8"/>
  <c r="AU25" i="8"/>
  <c r="AT25" i="8"/>
  <c r="AU15" i="8"/>
  <c r="AT15" i="8"/>
  <c r="AU23" i="8"/>
  <c r="AT23" i="8"/>
  <c r="AT27" i="8"/>
  <c r="S27" i="8"/>
  <c r="CI27" i="8" s="1"/>
  <c r="AU27" i="8"/>
  <c r="S28" i="8"/>
  <c r="CI28" i="8" s="1"/>
  <c r="AU28" i="8"/>
  <c r="AT28" i="8"/>
  <c r="AT19" i="8"/>
  <c r="AU19" i="8"/>
  <c r="AU13" i="8"/>
  <c r="AT13" i="8"/>
  <c r="AT29" i="8"/>
  <c r="AU29" i="8"/>
  <c r="S29" i="8"/>
  <c r="CI29" i="8" s="1"/>
  <c r="S21" i="8"/>
  <c r="CI21" i="8" s="1"/>
  <c r="AT21" i="8"/>
  <c r="AU21" i="8"/>
  <c r="AT16" i="8"/>
  <c r="AU16" i="8"/>
  <c r="AT20" i="8"/>
  <c r="AU20" i="8"/>
  <c r="S20" i="8"/>
  <c r="CI20" i="8" s="1"/>
  <c r="AU26" i="8"/>
  <c r="AT26" i="8"/>
  <c r="S26" i="8"/>
  <c r="CI26" i="8" s="1"/>
  <c r="S17" i="8"/>
  <c r="CI17" i="8" s="1"/>
  <c r="AU17" i="8"/>
  <c r="AT17" i="8"/>
  <c r="AT30" i="8"/>
  <c r="AU30" i="8"/>
  <c r="H12" i="8"/>
  <c r="CG12" i="8" s="1"/>
  <c r="J12" i="8"/>
  <c r="V15" i="8"/>
  <c r="U57" i="8"/>
  <c r="U60" i="8"/>
  <c r="U58" i="8"/>
  <c r="U63" i="8"/>
  <c r="U59" i="8"/>
  <c r="U55" i="8"/>
  <c r="U54" i="8"/>
  <c r="U61" i="8"/>
  <c r="U56" i="8"/>
  <c r="U62" i="8"/>
  <c r="AR30" i="8"/>
  <c r="AR21" i="8"/>
  <c r="AH21" i="8"/>
  <c r="CG30" i="8"/>
  <c r="AO30" i="8"/>
  <c r="I30" i="8"/>
  <c r="V28" i="8"/>
  <c r="CJ28" i="8" s="1"/>
  <c r="I22" i="8"/>
  <c r="CG22" i="8"/>
  <c r="AO22" i="8"/>
  <c r="I28" i="8"/>
  <c r="AO28" i="8"/>
  <c r="CG28" i="8"/>
  <c r="I24" i="8"/>
  <c r="CG24" i="8"/>
  <c r="AO24" i="8"/>
  <c r="CG23" i="8"/>
  <c r="I23" i="8"/>
  <c r="AO23" i="8"/>
  <c r="AH26" i="8"/>
  <c r="AR26" i="8"/>
  <c r="AR27" i="8"/>
  <c r="I21" i="8"/>
  <c r="CG21" i="8"/>
  <c r="AO21" i="8"/>
  <c r="AR29" i="8"/>
  <c r="V23" i="8"/>
  <c r="CG25" i="8"/>
  <c r="I25" i="8"/>
  <c r="AO25" i="8"/>
  <c r="V24" i="8"/>
  <c r="AH29" i="8"/>
  <c r="I29" i="8"/>
  <c r="CG29" i="8"/>
  <c r="AO29" i="8"/>
  <c r="AO27" i="8"/>
  <c r="I27" i="8"/>
  <c r="CG27" i="8"/>
  <c r="J23" i="8"/>
  <c r="N23" i="8" s="1"/>
  <c r="I56" i="8" s="1"/>
  <c r="J21" i="8"/>
  <c r="J28" i="8"/>
  <c r="J25" i="8"/>
  <c r="J29" i="8"/>
  <c r="J26" i="8"/>
  <c r="J22" i="8"/>
  <c r="J30" i="8"/>
  <c r="J24" i="8"/>
  <c r="J27" i="8"/>
  <c r="CG26" i="8"/>
  <c r="I26" i="8"/>
  <c r="AO26" i="8"/>
  <c r="AH30" i="8"/>
  <c r="AH27" i="8"/>
  <c r="V22" i="8"/>
  <c r="V25" i="8"/>
  <c r="CJ25" i="8" s="1"/>
  <c r="U47" i="8"/>
  <c r="U52" i="8"/>
  <c r="U50" i="8"/>
  <c r="U46" i="8"/>
  <c r="U51" i="8"/>
  <c r="U48" i="8"/>
  <c r="U44" i="8"/>
  <c r="U49" i="8"/>
  <c r="AV51" i="8"/>
  <c r="AW51" i="8" s="1"/>
  <c r="AR13" i="8"/>
  <c r="AR16" i="8"/>
  <c r="I14" i="8"/>
  <c r="AO14" i="8"/>
  <c r="CG14" i="8"/>
  <c r="I19" i="8"/>
  <c r="AO19" i="8"/>
  <c r="CG19" i="8"/>
  <c r="V11" i="8"/>
  <c r="I17" i="8"/>
  <c r="AO17" i="8"/>
  <c r="I20" i="8"/>
  <c r="AK20" i="8" s="1"/>
  <c r="AO20" i="8"/>
  <c r="CG20" i="8"/>
  <c r="I16" i="8"/>
  <c r="CG16" i="8"/>
  <c r="AO16" i="8"/>
  <c r="AH14" i="8"/>
  <c r="V18" i="8"/>
  <c r="I15" i="8"/>
  <c r="AO15" i="8"/>
  <c r="CG15" i="8"/>
  <c r="AH13" i="8"/>
  <c r="I11" i="8"/>
  <c r="CG11" i="8"/>
  <c r="AO11" i="8"/>
  <c r="AR14" i="8"/>
  <c r="J16" i="8"/>
  <c r="J18" i="8"/>
  <c r="J19" i="8"/>
  <c r="J17" i="8"/>
  <c r="J20" i="8"/>
  <c r="J11" i="8"/>
  <c r="J15" i="8"/>
  <c r="J14" i="8"/>
  <c r="AH16" i="8"/>
  <c r="V19" i="8"/>
  <c r="I13" i="8"/>
  <c r="AO13" i="8"/>
  <c r="CG13" i="8"/>
  <c r="I18" i="8"/>
  <c r="AO18" i="8"/>
  <c r="CG18" i="8"/>
  <c r="V17" i="8"/>
  <c r="CJ17" i="8" s="1"/>
  <c r="G43" i="8"/>
  <c r="U43" i="8" s="1"/>
  <c r="L10" i="8"/>
  <c r="G53" i="8"/>
  <c r="U53" i="8" s="1"/>
  <c r="G45" i="8"/>
  <c r="U45" i="8" s="1"/>
  <c r="AI7" i="8"/>
  <c r="V20" i="8"/>
  <c r="CJ20" i="8" s="1"/>
  <c r="H10" i="8"/>
  <c r="L12" i="8"/>
  <c r="K12" i="8"/>
  <c r="R12" i="8" s="1"/>
  <c r="J10" i="8"/>
  <c r="M48" i="8" l="1"/>
  <c r="AD48" i="8" s="1"/>
  <c r="AN48" i="8" s="1"/>
  <c r="AO48" i="8" s="1"/>
  <c r="CJ15" i="8"/>
  <c r="M57" i="8"/>
  <c r="AD57" i="8" s="1"/>
  <c r="AN57" i="8" s="1"/>
  <c r="AO57" i="8" s="1"/>
  <c r="CJ24" i="8"/>
  <c r="M50" i="8"/>
  <c r="AD50" i="8" s="1"/>
  <c r="AN50" i="8" s="1"/>
  <c r="AP50" i="8" s="1"/>
  <c r="M52" i="8"/>
  <c r="CJ19" i="8"/>
  <c r="M51" i="8"/>
  <c r="AD51" i="8" s="1"/>
  <c r="AN51" i="8" s="1"/>
  <c r="AP51" i="8" s="1"/>
  <c r="CJ18" i="8"/>
  <c r="M55" i="8"/>
  <c r="CJ22" i="8"/>
  <c r="M44" i="8"/>
  <c r="AQ44" i="8" s="1"/>
  <c r="AZ44" i="8" s="1"/>
  <c r="CJ11" i="8"/>
  <c r="M56" i="8"/>
  <c r="CJ23" i="8"/>
  <c r="AD54" i="8"/>
  <c r="AN54" i="8" s="1"/>
  <c r="AP54" i="8" s="1"/>
  <c r="AD47" i="8"/>
  <c r="AN47" i="8" s="1"/>
  <c r="AP47" i="8" s="1"/>
  <c r="AD62" i="8"/>
  <c r="AN62" i="8" s="1"/>
  <c r="AO62" i="8" s="1"/>
  <c r="M58" i="8"/>
  <c r="AQ46" i="8"/>
  <c r="AZ46" i="8" s="1"/>
  <c r="BC46" i="8" s="1"/>
  <c r="M61" i="8"/>
  <c r="AQ61" i="8" s="1"/>
  <c r="AZ61" i="8" s="1"/>
  <c r="AQ60" i="8"/>
  <c r="AZ60" i="8" s="1"/>
  <c r="AQ59" i="8"/>
  <c r="AZ59" i="8" s="1"/>
  <c r="AH20" i="8"/>
  <c r="M53" i="8"/>
  <c r="BC47" i="8"/>
  <c r="AD49" i="8"/>
  <c r="AN49" i="8" s="1"/>
  <c r="AO49" i="8" s="1"/>
  <c r="AD63" i="8"/>
  <c r="AN63" i="8" s="1"/>
  <c r="AP63" i="8" s="1"/>
  <c r="AQ57" i="8"/>
  <c r="AZ57" i="8" s="1"/>
  <c r="AU12" i="8"/>
  <c r="AT12" i="8"/>
  <c r="BU26" i="8"/>
  <c r="BL26" i="8"/>
  <c r="BC26" i="8"/>
  <c r="CD26" i="8"/>
  <c r="BC25" i="8"/>
  <c r="CD25" i="8"/>
  <c r="BL25" i="8"/>
  <c r="BU25" i="8"/>
  <c r="BK27" i="8"/>
  <c r="BT27" i="8"/>
  <c r="BB27" i="8"/>
  <c r="CC27" i="8"/>
  <c r="BU10" i="8"/>
  <c r="BC10" i="8"/>
  <c r="CD10" i="8"/>
  <c r="BL10" i="8"/>
  <c r="CD30" i="8"/>
  <c r="BU30" i="8"/>
  <c r="BC30" i="8"/>
  <c r="BL30" i="8"/>
  <c r="BB25" i="8"/>
  <c r="CC25" i="8"/>
  <c r="BT25" i="8"/>
  <c r="BK25" i="8"/>
  <c r="BL15" i="8"/>
  <c r="BC15" i="8"/>
  <c r="BU15" i="8"/>
  <c r="CD15" i="8"/>
  <c r="CC18" i="8"/>
  <c r="BT18" i="8"/>
  <c r="BB18" i="8"/>
  <c r="BK18" i="8"/>
  <c r="CC22" i="8"/>
  <c r="BB22" i="8"/>
  <c r="BK22" i="8"/>
  <c r="BT22" i="8"/>
  <c r="BB24" i="8"/>
  <c r="BT24" i="8"/>
  <c r="CC24" i="8"/>
  <c r="BK24" i="8"/>
  <c r="BK19" i="8"/>
  <c r="BT19" i="8"/>
  <c r="BB19" i="8"/>
  <c r="CC19" i="8"/>
  <c r="CD28" i="8"/>
  <c r="BU28" i="8"/>
  <c r="BL28" i="8"/>
  <c r="BC28" i="8"/>
  <c r="CC10" i="8"/>
  <c r="BT10" i="8"/>
  <c r="BK10" i="8"/>
  <c r="BB10" i="8"/>
  <c r="BU22" i="8"/>
  <c r="BC22" i="8"/>
  <c r="BL22" i="8"/>
  <c r="CD22" i="8"/>
  <c r="CC30" i="8"/>
  <c r="BB30" i="8"/>
  <c r="BT30" i="8"/>
  <c r="BK30" i="8"/>
  <c r="CC14" i="8"/>
  <c r="BB14" i="8"/>
  <c r="BT14" i="8"/>
  <c r="BK14" i="8"/>
  <c r="CC29" i="8"/>
  <c r="BK29" i="8"/>
  <c r="BB29" i="8"/>
  <c r="BT29" i="8"/>
  <c r="BT15" i="8"/>
  <c r="BB15" i="8"/>
  <c r="BK15" i="8"/>
  <c r="CC15" i="8"/>
  <c r="CC13" i="8"/>
  <c r="BK13" i="8"/>
  <c r="BB13" i="8"/>
  <c r="BT13" i="8"/>
  <c r="BL24" i="8"/>
  <c r="BC24" i="8"/>
  <c r="CD24" i="8"/>
  <c r="BU24" i="8"/>
  <c r="BU14" i="8"/>
  <c r="BC14" i="8"/>
  <c r="BL14" i="8"/>
  <c r="CD14" i="8"/>
  <c r="CD29" i="8"/>
  <c r="BC29" i="8"/>
  <c r="BU29" i="8"/>
  <c r="BL29" i="8"/>
  <c r="CD21" i="8"/>
  <c r="BC21" i="8"/>
  <c r="BU21" i="8"/>
  <c r="BL21" i="8"/>
  <c r="BU18" i="8"/>
  <c r="BC18" i="8"/>
  <c r="BL18" i="8"/>
  <c r="CD18" i="8"/>
  <c r="BL16" i="8"/>
  <c r="BC16" i="8"/>
  <c r="CD16" i="8"/>
  <c r="BU16" i="8"/>
  <c r="BU19" i="8"/>
  <c r="BL19" i="8"/>
  <c r="CD19" i="8"/>
  <c r="BC19" i="8"/>
  <c r="BK28" i="8"/>
  <c r="BT28" i="8"/>
  <c r="CC28" i="8"/>
  <c r="BB28" i="8"/>
  <c r="BB21" i="8"/>
  <c r="CC21" i="8"/>
  <c r="BK21" i="8"/>
  <c r="BT21" i="8"/>
  <c r="BT23" i="8"/>
  <c r="BB23" i="8"/>
  <c r="BK23" i="8"/>
  <c r="CC23" i="8"/>
  <c r="CD13" i="8"/>
  <c r="BC13" i="8"/>
  <c r="BU13" i="8"/>
  <c r="BL13" i="8"/>
  <c r="BK11" i="8"/>
  <c r="BB11" i="8"/>
  <c r="BT11" i="8"/>
  <c r="CC11" i="8"/>
  <c r="BB17" i="8"/>
  <c r="CC17" i="8"/>
  <c r="BT17" i="8"/>
  <c r="BK17" i="8"/>
  <c r="BL23" i="8"/>
  <c r="BC23" i="8"/>
  <c r="BU23" i="8"/>
  <c r="CD23" i="8"/>
  <c r="BB16" i="8"/>
  <c r="BT16" i="8"/>
  <c r="CC16" i="8"/>
  <c r="BK16" i="8"/>
  <c r="BK20" i="8"/>
  <c r="BB20" i="8"/>
  <c r="BT20" i="8"/>
  <c r="CC20" i="8"/>
  <c r="CC26" i="8"/>
  <c r="BK26" i="8"/>
  <c r="BB26" i="8"/>
  <c r="BT26" i="8"/>
  <c r="BC11" i="8"/>
  <c r="BU11" i="8"/>
  <c r="BL11" i="8"/>
  <c r="CD11" i="8"/>
  <c r="CD17" i="8"/>
  <c r="BL17" i="8"/>
  <c r="BC17" i="8"/>
  <c r="BU17" i="8"/>
  <c r="BU27" i="8"/>
  <c r="BC27" i="8"/>
  <c r="BL27" i="8"/>
  <c r="CD27" i="8"/>
  <c r="CD20" i="8"/>
  <c r="BU20" i="8"/>
  <c r="BL20" i="8"/>
  <c r="BC20" i="8"/>
  <c r="BX13" i="8"/>
  <c r="BO13" i="8"/>
  <c r="BX19" i="8"/>
  <c r="BO19" i="8"/>
  <c r="BX27" i="8"/>
  <c r="BO27" i="8"/>
  <c r="CA27" i="8"/>
  <c r="BR27" i="8"/>
  <c r="CA30" i="8"/>
  <c r="BR30" i="8"/>
  <c r="BX15" i="8"/>
  <c r="BO15" i="8"/>
  <c r="BX20" i="8"/>
  <c r="BO20" i="8"/>
  <c r="BX26" i="8"/>
  <c r="BO26" i="8"/>
  <c r="BX29" i="8"/>
  <c r="BO29" i="8"/>
  <c r="BX25" i="8"/>
  <c r="BO25" i="8"/>
  <c r="BR29" i="8"/>
  <c r="CA29" i="8"/>
  <c r="BR26" i="8"/>
  <c r="CA26" i="8"/>
  <c r="BX30" i="8"/>
  <c r="BO30" i="8"/>
  <c r="BX17" i="8"/>
  <c r="BO17" i="8"/>
  <c r="BX14" i="8"/>
  <c r="BO14" i="8"/>
  <c r="BX28" i="8"/>
  <c r="BO28" i="8"/>
  <c r="BX11" i="8"/>
  <c r="BO11" i="8"/>
  <c r="BX21" i="8"/>
  <c r="BO21" i="8"/>
  <c r="BX23" i="8"/>
  <c r="BO23" i="8"/>
  <c r="BX18" i="8"/>
  <c r="BO18" i="8"/>
  <c r="CA14" i="8"/>
  <c r="BR14" i="8"/>
  <c r="BX16" i="8"/>
  <c r="BO16" i="8"/>
  <c r="CA16" i="8"/>
  <c r="BR16" i="8"/>
  <c r="BX22" i="8"/>
  <c r="BO22" i="8"/>
  <c r="CA21" i="8"/>
  <c r="BR21" i="8"/>
  <c r="CA13" i="8"/>
  <c r="BR13" i="8"/>
  <c r="BX24" i="8"/>
  <c r="BO24" i="8"/>
  <c r="AO12" i="8"/>
  <c r="AW12" i="8" s="1"/>
  <c r="AW13" i="8"/>
  <c r="BF13" i="8"/>
  <c r="AW19" i="8"/>
  <c r="BF19" i="8"/>
  <c r="AZ16" i="8"/>
  <c r="BI16" i="8"/>
  <c r="AW29" i="8"/>
  <c r="BF29" i="8"/>
  <c r="AZ21" i="8"/>
  <c r="BI21" i="8"/>
  <c r="AW21" i="8"/>
  <c r="BF21" i="8"/>
  <c r="AZ14" i="8"/>
  <c r="BI14" i="8"/>
  <c r="AW16" i="8"/>
  <c r="BF16" i="8"/>
  <c r="AW17" i="8"/>
  <c r="BF17" i="8"/>
  <c r="AW23" i="8"/>
  <c r="BF23" i="8"/>
  <c r="AZ26" i="8"/>
  <c r="BI26" i="8"/>
  <c r="AR15" i="8"/>
  <c r="AZ13" i="8"/>
  <c r="BI13" i="8"/>
  <c r="AW26" i="8"/>
  <c r="BF26" i="8"/>
  <c r="AW28" i="8"/>
  <c r="BF28" i="8"/>
  <c r="AW25" i="8"/>
  <c r="BF25" i="8"/>
  <c r="AW18" i="8"/>
  <c r="BF18" i="8"/>
  <c r="AW15" i="8"/>
  <c r="BF15" i="8"/>
  <c r="AZ29" i="8"/>
  <c r="BI29" i="8"/>
  <c r="AZ27" i="8"/>
  <c r="BI27" i="8"/>
  <c r="AW30" i="8"/>
  <c r="BF30" i="8"/>
  <c r="AZ30" i="8"/>
  <c r="BI30" i="8"/>
  <c r="AW20" i="8"/>
  <c r="BF20" i="8"/>
  <c r="AW27" i="8"/>
  <c r="BF27" i="8"/>
  <c r="AW11" i="8"/>
  <c r="BF11" i="8"/>
  <c r="AW14" i="8"/>
  <c r="BF14" i="8"/>
  <c r="AW24" i="8"/>
  <c r="BF24" i="8"/>
  <c r="AW22" i="8"/>
  <c r="BF22" i="8"/>
  <c r="AB22" i="8"/>
  <c r="AG22" i="8" s="1"/>
  <c r="AB30" i="8"/>
  <c r="AG30" i="8" s="1"/>
  <c r="AB11" i="8"/>
  <c r="AG11" i="8" s="1"/>
  <c r="AB15" i="8"/>
  <c r="AG15" i="8" s="1"/>
  <c r="AB24" i="8"/>
  <c r="AG24" i="8" s="1"/>
  <c r="AB18" i="8"/>
  <c r="AG18" i="8" s="1"/>
  <c r="AB17" i="8"/>
  <c r="AG17" i="8" s="1"/>
  <c r="AB21" i="8"/>
  <c r="AG21" i="8" s="1"/>
  <c r="AB16" i="8"/>
  <c r="AG16" i="8" s="1"/>
  <c r="AB19" i="8"/>
  <c r="AG19" i="8" s="1"/>
  <c r="V10" i="8"/>
  <c r="AB27" i="8"/>
  <c r="AG27" i="8" s="1"/>
  <c r="AB13" i="8"/>
  <c r="AG13" i="8" s="1"/>
  <c r="AB10" i="8"/>
  <c r="AG10" i="8" s="1"/>
  <c r="S10" i="8"/>
  <c r="AB20" i="8"/>
  <c r="AG20" i="8" s="1"/>
  <c r="AB23" i="8"/>
  <c r="AG23" i="8" s="1"/>
  <c r="AB26" i="8"/>
  <c r="AG26" i="8" s="1"/>
  <c r="AB29" i="8"/>
  <c r="AG29" i="8" s="1"/>
  <c r="AB28" i="8"/>
  <c r="AG28" i="8" s="1"/>
  <c r="AB14" i="8"/>
  <c r="AG14" i="8" s="1"/>
  <c r="AB25" i="8"/>
  <c r="AH15" i="8"/>
  <c r="AQ20" i="8"/>
  <c r="T29" i="8"/>
  <c r="L62" i="8" s="1"/>
  <c r="AB62" i="8" s="1"/>
  <c r="T20" i="8"/>
  <c r="AM20" i="8" s="1"/>
  <c r="AQ17" i="8"/>
  <c r="S24" i="8"/>
  <c r="CI24" i="8" s="1"/>
  <c r="AQ21" i="8"/>
  <c r="T21" i="8"/>
  <c r="AM21" i="8" s="1"/>
  <c r="T26" i="8"/>
  <c r="AM26" i="8" s="1"/>
  <c r="AQ26" i="8"/>
  <c r="AQ28" i="8"/>
  <c r="T27" i="8"/>
  <c r="L60" i="8" s="1"/>
  <c r="AB60" i="8" s="1"/>
  <c r="AQ27" i="8"/>
  <c r="S23" i="8"/>
  <c r="AQ29" i="8"/>
  <c r="S18" i="8"/>
  <c r="S19" i="8"/>
  <c r="CI19" i="8" s="1"/>
  <c r="S14" i="8"/>
  <c r="CI14" i="8" s="1"/>
  <c r="T17" i="8"/>
  <c r="AM17" i="8" s="1"/>
  <c r="S16" i="8"/>
  <c r="CI16" i="8" s="1"/>
  <c r="S30" i="8"/>
  <c r="CI30" i="8" s="1"/>
  <c r="S15" i="8"/>
  <c r="CI15" i="8" s="1"/>
  <c r="S13" i="8"/>
  <c r="S22" i="8"/>
  <c r="T28" i="8"/>
  <c r="L61" i="8" s="1"/>
  <c r="AB61" i="8" s="1"/>
  <c r="S11" i="8"/>
  <c r="S25" i="8"/>
  <c r="AP62" i="8"/>
  <c r="AO59" i="8"/>
  <c r="AV52" i="8"/>
  <c r="AW52" i="8" s="1"/>
  <c r="AV53" i="8"/>
  <c r="AW53" i="8" s="1"/>
  <c r="AP60" i="8"/>
  <c r="X56" i="8"/>
  <c r="AK23" i="8"/>
  <c r="H56" i="8"/>
  <c r="V56" i="8" s="1"/>
  <c r="W56" i="8" s="1"/>
  <c r="AK30" i="8"/>
  <c r="H63" i="8"/>
  <c r="V63" i="8" s="1"/>
  <c r="W63" i="8" s="1"/>
  <c r="AK26" i="8"/>
  <c r="H59" i="8"/>
  <c r="V59" i="8" s="1"/>
  <c r="W59" i="8" s="1"/>
  <c r="AK21" i="8"/>
  <c r="H54" i="8"/>
  <c r="V54" i="8" s="1"/>
  <c r="W54" i="8" s="1"/>
  <c r="AK27" i="8"/>
  <c r="H60" i="8"/>
  <c r="V60" i="8" s="1"/>
  <c r="W60" i="8" s="1"/>
  <c r="AK29" i="8"/>
  <c r="H62" i="8"/>
  <c r="V62" i="8" s="1"/>
  <c r="W62" i="8" s="1"/>
  <c r="AK28" i="8"/>
  <c r="H61" i="8"/>
  <c r="V61" i="8" s="1"/>
  <c r="W61" i="8" s="1"/>
  <c r="AK22" i="8"/>
  <c r="H55" i="8"/>
  <c r="V55" i="8" s="1"/>
  <c r="W55" i="8" s="1"/>
  <c r="AK25" i="8"/>
  <c r="H58" i="8"/>
  <c r="V58" i="8" s="1"/>
  <c r="W58" i="8" s="1"/>
  <c r="AK24" i="8"/>
  <c r="H57" i="8"/>
  <c r="V57" i="8" s="1"/>
  <c r="W57" i="8" s="1"/>
  <c r="AH25" i="8"/>
  <c r="AH23" i="8"/>
  <c r="AH22" i="8"/>
  <c r="AH28" i="8"/>
  <c r="AR24" i="8"/>
  <c r="N21" i="8"/>
  <c r="AH24" i="8"/>
  <c r="N28" i="8"/>
  <c r="N29" i="8"/>
  <c r="N26" i="8"/>
  <c r="AF23" i="8"/>
  <c r="O23" i="8"/>
  <c r="N27" i="8"/>
  <c r="N25" i="8"/>
  <c r="N24" i="8"/>
  <c r="AR23" i="8"/>
  <c r="AR25" i="8"/>
  <c r="N30" i="8"/>
  <c r="AR28" i="8"/>
  <c r="AR22" i="8"/>
  <c r="N22" i="8"/>
  <c r="AK18" i="8"/>
  <c r="H51" i="8"/>
  <c r="V51" i="8" s="1"/>
  <c r="W51" i="8" s="1"/>
  <c r="AK15" i="8"/>
  <c r="H48" i="8"/>
  <c r="V48" i="8" s="1"/>
  <c r="W48" i="8" s="1"/>
  <c r="AK17" i="8"/>
  <c r="H50" i="8"/>
  <c r="V50" i="8" s="1"/>
  <c r="W50" i="8" s="1"/>
  <c r="AK14" i="8"/>
  <c r="H47" i="8"/>
  <c r="V47" i="8" s="1"/>
  <c r="W47" i="8" s="1"/>
  <c r="AK13" i="8"/>
  <c r="H46" i="8"/>
  <c r="V46" i="8" s="1"/>
  <c r="W46" i="8" s="1"/>
  <c r="AK11" i="8"/>
  <c r="H44" i="8"/>
  <c r="V44" i="8" s="1"/>
  <c r="W44" i="8" s="1"/>
  <c r="AK19" i="8"/>
  <c r="H52" i="8"/>
  <c r="V52" i="8" s="1"/>
  <c r="W52" i="8" s="1"/>
  <c r="AO46" i="8"/>
  <c r="AK16" i="8"/>
  <c r="H49" i="8"/>
  <c r="V49" i="8" s="1"/>
  <c r="W49" i="8" s="1"/>
  <c r="AH19" i="8"/>
  <c r="AR18" i="8"/>
  <c r="N14" i="8"/>
  <c r="AR17" i="8"/>
  <c r="N15" i="8"/>
  <c r="N16" i="8"/>
  <c r="AR11" i="8"/>
  <c r="N11" i="8"/>
  <c r="AF11" i="8" s="1"/>
  <c r="N20" i="8"/>
  <c r="O20" i="8" s="1"/>
  <c r="AH11" i="8"/>
  <c r="N12" i="8"/>
  <c r="O12" i="8" s="1"/>
  <c r="N19" i="8"/>
  <c r="AF19" i="8" s="1"/>
  <c r="N18" i="8"/>
  <c r="AH17" i="8"/>
  <c r="V12" i="8"/>
  <c r="N13" i="8"/>
  <c r="AH18" i="8"/>
  <c r="AR20" i="8"/>
  <c r="AR19" i="8"/>
  <c r="N17" i="8"/>
  <c r="AF17" i="8" s="1"/>
  <c r="I10" i="8"/>
  <c r="AO10" i="8"/>
  <c r="CG10" i="8"/>
  <c r="N10" i="8"/>
  <c r="AF10" i="8" s="1"/>
  <c r="AQ48" i="8" l="1"/>
  <c r="AZ48" i="8" s="1"/>
  <c r="AQ50" i="8"/>
  <c r="AZ50" i="8" s="1"/>
  <c r="BC50" i="8" s="1"/>
  <c r="AO54" i="8"/>
  <c r="AD44" i="8"/>
  <c r="AN44" i="8" s="1"/>
  <c r="AO44" i="8" s="1"/>
  <c r="CJ10" i="8"/>
  <c r="C37" i="8"/>
  <c r="AQ51" i="8"/>
  <c r="AZ51" i="8" s="1"/>
  <c r="BC51" i="8" s="1"/>
  <c r="M45" i="8"/>
  <c r="CJ12" i="8"/>
  <c r="AO47" i="8"/>
  <c r="AQ22" i="8"/>
  <c r="BQ22" i="8" s="1"/>
  <c r="CI22" i="8"/>
  <c r="AQ10" i="8"/>
  <c r="BZ10" i="8" s="1"/>
  <c r="CI10" i="8"/>
  <c r="AQ13" i="8"/>
  <c r="BH13" i="8" s="1"/>
  <c r="CI13" i="8"/>
  <c r="AQ18" i="8"/>
  <c r="BQ18" i="8" s="1"/>
  <c r="CI18" i="8"/>
  <c r="T25" i="8"/>
  <c r="AM25" i="8" s="1"/>
  <c r="CI25" i="8"/>
  <c r="AQ11" i="8"/>
  <c r="AY11" i="8" s="1"/>
  <c r="CI11" i="8"/>
  <c r="AQ23" i="8"/>
  <c r="BQ23" i="8" s="1"/>
  <c r="CI23" i="8"/>
  <c r="AP49" i="8"/>
  <c r="BC49" i="8" s="1"/>
  <c r="AO51" i="8"/>
  <c r="AD61" i="8"/>
  <c r="AN61" i="8" s="1"/>
  <c r="AO61" i="8" s="1"/>
  <c r="C38" i="8"/>
  <c r="AO63" i="8"/>
  <c r="BC44" i="8"/>
  <c r="AP48" i="8"/>
  <c r="BC48" i="8" s="1"/>
  <c r="AG25" i="8"/>
  <c r="AO50" i="8"/>
  <c r="AH10" i="8"/>
  <c r="AI10" i="8" s="1"/>
  <c r="AS10" i="8" s="1"/>
  <c r="M43" i="8"/>
  <c r="AD56" i="8"/>
  <c r="AN56" i="8" s="1"/>
  <c r="AP56" i="8" s="1"/>
  <c r="AQ56" i="8"/>
  <c r="AZ56" i="8" s="1"/>
  <c r="AD53" i="8"/>
  <c r="AN53" i="8" s="1"/>
  <c r="AP53" i="8" s="1"/>
  <c r="AQ53" i="8"/>
  <c r="AZ53" i="8" s="1"/>
  <c r="AD58" i="8"/>
  <c r="AN58" i="8" s="1"/>
  <c r="AP58" i="8" s="1"/>
  <c r="AQ58" i="8"/>
  <c r="AZ58" i="8" s="1"/>
  <c r="AP57" i="8"/>
  <c r="AD52" i="8"/>
  <c r="AN52" i="8" s="1"/>
  <c r="AO52" i="8" s="1"/>
  <c r="AQ52" i="8"/>
  <c r="AZ52" i="8" s="1"/>
  <c r="AD55" i="8"/>
  <c r="AN55" i="8" s="1"/>
  <c r="AP55" i="8" s="1"/>
  <c r="AQ55" i="8"/>
  <c r="AZ55" i="8" s="1"/>
  <c r="K48" i="8"/>
  <c r="AA48" i="8" s="1"/>
  <c r="CD12" i="8"/>
  <c r="BU12" i="8"/>
  <c r="BL12" i="8"/>
  <c r="BC12" i="8"/>
  <c r="BK12" i="8"/>
  <c r="BT12" i="8"/>
  <c r="BB12" i="8"/>
  <c r="CC12" i="8"/>
  <c r="BF12" i="8"/>
  <c r="CA18" i="8"/>
  <c r="BR18" i="8"/>
  <c r="BR28" i="8"/>
  <c r="CA28" i="8"/>
  <c r="CA22" i="8"/>
  <c r="BR22" i="8"/>
  <c r="CA11" i="8"/>
  <c r="BR11" i="8"/>
  <c r="BH28" i="8"/>
  <c r="BQ28" i="8"/>
  <c r="BZ28" i="8"/>
  <c r="CA24" i="8"/>
  <c r="BR24" i="8"/>
  <c r="BQ26" i="8"/>
  <c r="BZ26" i="8"/>
  <c r="BH26" i="8"/>
  <c r="BZ20" i="8"/>
  <c r="BH20" i="8"/>
  <c r="BQ20" i="8"/>
  <c r="CA25" i="8"/>
  <c r="BR25" i="8"/>
  <c r="BH27" i="8"/>
  <c r="BZ27" i="8"/>
  <c r="BQ27" i="8"/>
  <c r="CA19" i="8"/>
  <c r="BR19" i="8"/>
  <c r="BR20" i="8"/>
  <c r="CA20" i="8"/>
  <c r="BX12" i="8"/>
  <c r="BO12" i="8"/>
  <c r="CA17" i="8"/>
  <c r="BR17" i="8"/>
  <c r="BH21" i="8"/>
  <c r="BZ21" i="8"/>
  <c r="BQ21" i="8"/>
  <c r="BR15" i="8"/>
  <c r="CA15" i="8"/>
  <c r="BH17" i="8"/>
  <c r="BZ17" i="8"/>
  <c r="BQ17" i="8"/>
  <c r="CA23" i="8"/>
  <c r="BR23" i="8"/>
  <c r="BZ29" i="8"/>
  <c r="BQ29" i="8"/>
  <c r="BH29" i="8"/>
  <c r="BX10" i="8"/>
  <c r="BF10" i="8"/>
  <c r="BO10" i="8"/>
  <c r="AW10" i="8"/>
  <c r="AR10" i="8"/>
  <c r="AZ15" i="8"/>
  <c r="BI15" i="8"/>
  <c r="AZ20" i="8"/>
  <c r="BI20" i="8"/>
  <c r="AZ18" i="8"/>
  <c r="BI18" i="8"/>
  <c r="AZ22" i="8"/>
  <c r="BI22" i="8"/>
  <c r="AZ23" i="8"/>
  <c r="BI23" i="8"/>
  <c r="AZ11" i="8"/>
  <c r="BI11" i="8"/>
  <c r="AZ25" i="8"/>
  <c r="BI25" i="8"/>
  <c r="AZ19" i="8"/>
  <c r="BI19" i="8"/>
  <c r="AZ28" i="8"/>
  <c r="BI28" i="8"/>
  <c r="AZ24" i="8"/>
  <c r="BI24" i="8"/>
  <c r="AZ17" i="8"/>
  <c r="BI17" i="8"/>
  <c r="T10" i="8"/>
  <c r="AM10" i="8" s="1"/>
  <c r="K63" i="8"/>
  <c r="AA63" i="8" s="1"/>
  <c r="AB12" i="8"/>
  <c r="AG12" i="8" s="1"/>
  <c r="K46" i="8"/>
  <c r="AA46" i="8" s="1"/>
  <c r="K44" i="8"/>
  <c r="AA44" i="8" s="1"/>
  <c r="K55" i="8"/>
  <c r="AA55" i="8" s="1"/>
  <c r="AM29" i="8"/>
  <c r="K52" i="8"/>
  <c r="AA52" i="8" s="1"/>
  <c r="K58" i="8"/>
  <c r="AA58" i="8" s="1"/>
  <c r="K47" i="8"/>
  <c r="AA47" i="8" s="1"/>
  <c r="K49" i="8"/>
  <c r="AA49" i="8" s="1"/>
  <c r="K54" i="8"/>
  <c r="AA54" i="8" s="1"/>
  <c r="K53" i="8"/>
  <c r="AA53" i="8" s="1"/>
  <c r="AY26" i="8"/>
  <c r="L53" i="8"/>
  <c r="AB53" i="8" s="1"/>
  <c r="K59" i="8"/>
  <c r="AA59" i="8" s="1"/>
  <c r="K61" i="8"/>
  <c r="AA61" i="8" s="1"/>
  <c r="AC61" i="8" s="1"/>
  <c r="K60" i="8"/>
  <c r="AA60" i="8" s="1"/>
  <c r="AC60" i="8" s="1"/>
  <c r="AY28" i="8"/>
  <c r="K57" i="8"/>
  <c r="AA57" i="8" s="1"/>
  <c r="K51" i="8"/>
  <c r="AA51" i="8" s="1"/>
  <c r="AY27" i="8"/>
  <c r="AM28" i="8"/>
  <c r="AY17" i="8"/>
  <c r="AY21" i="8"/>
  <c r="K50" i="8"/>
  <c r="AA50" i="8" s="1"/>
  <c r="AY20" i="8"/>
  <c r="AQ19" i="8"/>
  <c r="AY29" i="8"/>
  <c r="K56" i="8"/>
  <c r="AA56" i="8" s="1"/>
  <c r="K62" i="8"/>
  <c r="AA62" i="8" s="1"/>
  <c r="AC62" i="8" s="1"/>
  <c r="K43" i="8"/>
  <c r="AA43" i="8" s="1"/>
  <c r="T16" i="8"/>
  <c r="L49" i="8" s="1"/>
  <c r="AB49" i="8" s="1"/>
  <c r="AQ16" i="8"/>
  <c r="T15" i="8"/>
  <c r="AM15" i="8" s="1"/>
  <c r="L54" i="8"/>
  <c r="AB54" i="8" s="1"/>
  <c r="T13" i="8"/>
  <c r="AM13" i="8" s="1"/>
  <c r="T24" i="8"/>
  <c r="T11" i="8"/>
  <c r="AM11" i="8" s="1"/>
  <c r="AQ24" i="8"/>
  <c r="AQ14" i="8"/>
  <c r="T19" i="8"/>
  <c r="L52" i="8" s="1"/>
  <c r="AB52" i="8" s="1"/>
  <c r="AM27" i="8"/>
  <c r="T14" i="8"/>
  <c r="AM14" i="8" s="1"/>
  <c r="L50" i="8"/>
  <c r="AB50" i="8" s="1"/>
  <c r="T22" i="8"/>
  <c r="L55" i="8" s="1"/>
  <c r="AB55" i="8" s="1"/>
  <c r="L59" i="8"/>
  <c r="AB59" i="8" s="1"/>
  <c r="T23" i="8"/>
  <c r="T18" i="8"/>
  <c r="AQ15" i="8"/>
  <c r="AQ30" i="8"/>
  <c r="T30" i="8"/>
  <c r="AM30" i="8" s="1"/>
  <c r="S12" i="8"/>
  <c r="CI12" i="8" s="1"/>
  <c r="AQ25" i="8"/>
  <c r="AI23" i="8"/>
  <c r="AS23" i="8" s="1"/>
  <c r="AV54" i="8"/>
  <c r="AW54" i="8" s="1"/>
  <c r="BC54" i="8" s="1"/>
  <c r="AV55" i="8"/>
  <c r="AW55" i="8" s="1"/>
  <c r="O25" i="8"/>
  <c r="CH25" i="8" s="1"/>
  <c r="I58" i="8"/>
  <c r="O22" i="8"/>
  <c r="P22" i="8" s="1"/>
  <c r="I55" i="8"/>
  <c r="O21" i="8"/>
  <c r="P21" i="8" s="1"/>
  <c r="I54" i="8"/>
  <c r="O27" i="8"/>
  <c r="CH27" i="8" s="1"/>
  <c r="I60" i="8"/>
  <c r="O29" i="8"/>
  <c r="AP29" i="8" s="1"/>
  <c r="I62" i="8"/>
  <c r="O28" i="8"/>
  <c r="CH28" i="8" s="1"/>
  <c r="I61" i="8"/>
  <c r="O30" i="8"/>
  <c r="CH30" i="8" s="1"/>
  <c r="I63" i="8"/>
  <c r="O24" i="8"/>
  <c r="AP24" i="8" s="1"/>
  <c r="I57" i="8"/>
  <c r="O26" i="8"/>
  <c r="P26" i="8" s="1"/>
  <c r="I59" i="8"/>
  <c r="AF27" i="8"/>
  <c r="AI27" i="8" s="1"/>
  <c r="AS27" i="8" s="1"/>
  <c r="AF24" i="8"/>
  <c r="AF25" i="8"/>
  <c r="AF28" i="8"/>
  <c r="AI28" i="8" s="1"/>
  <c r="AS28" i="8" s="1"/>
  <c r="AF22" i="8"/>
  <c r="AF29" i="8"/>
  <c r="AF30" i="8"/>
  <c r="AF21" i="8"/>
  <c r="AI21" i="8" s="1"/>
  <c r="AS21" i="8" s="1"/>
  <c r="AF26" i="8"/>
  <c r="AP23" i="8"/>
  <c r="CH23" i="8"/>
  <c r="P23" i="8"/>
  <c r="AI19" i="8"/>
  <c r="AS19" i="8" s="1"/>
  <c r="AI17" i="8"/>
  <c r="AS17" i="8" s="1"/>
  <c r="O16" i="8"/>
  <c r="AP16" i="8" s="1"/>
  <c r="I49" i="8"/>
  <c r="O18" i="8"/>
  <c r="AP18" i="8" s="1"/>
  <c r="I51" i="8"/>
  <c r="O15" i="8"/>
  <c r="AP15" i="8" s="1"/>
  <c r="I48" i="8"/>
  <c r="O13" i="8"/>
  <c r="AP13" i="8" s="1"/>
  <c r="I46" i="8"/>
  <c r="O11" i="8"/>
  <c r="CH11" i="8" s="1"/>
  <c r="I44" i="8"/>
  <c r="O17" i="8"/>
  <c r="I50" i="8"/>
  <c r="O19" i="8"/>
  <c r="AP19" i="8" s="1"/>
  <c r="I52" i="8"/>
  <c r="O14" i="8"/>
  <c r="AP14" i="8" s="1"/>
  <c r="I47" i="8"/>
  <c r="CH12" i="8"/>
  <c r="P12" i="8"/>
  <c r="AL12" i="8" s="1"/>
  <c r="AP12" i="8"/>
  <c r="AF15" i="8"/>
  <c r="AI15" i="8" s="1"/>
  <c r="AS15" i="8" s="1"/>
  <c r="AF18" i="8"/>
  <c r="AF12" i="8"/>
  <c r="AF13" i="8"/>
  <c r="AP20" i="8"/>
  <c r="P20" i="8"/>
  <c r="AL20" i="8" s="1"/>
  <c r="CH20" i="8"/>
  <c r="AR12" i="8"/>
  <c r="AH12" i="8"/>
  <c r="AF20" i="8"/>
  <c r="AI20" i="8" s="1"/>
  <c r="AS20" i="8" s="1"/>
  <c r="AF16" i="8"/>
  <c r="AI16" i="8" s="1"/>
  <c r="AS16" i="8" s="1"/>
  <c r="AF14" i="8"/>
  <c r="AI14" i="8" s="1"/>
  <c r="AS14" i="8" s="1"/>
  <c r="I45" i="8"/>
  <c r="O10" i="8"/>
  <c r="CH10" i="8" s="1"/>
  <c r="I43" i="8"/>
  <c r="I53" i="8"/>
  <c r="H43" i="8"/>
  <c r="V43" i="8" s="1"/>
  <c r="W43" i="8" s="1"/>
  <c r="AK10" i="8"/>
  <c r="H53" i="8"/>
  <c r="V53" i="8" s="1"/>
  <c r="W53" i="8" s="1"/>
  <c r="BZ22" i="8" l="1"/>
  <c r="AY22" i="8"/>
  <c r="AP44" i="8"/>
  <c r="P17" i="8"/>
  <c r="CH17" i="8"/>
  <c r="AY18" i="8"/>
  <c r="BH18" i="8"/>
  <c r="AY13" i="8"/>
  <c r="BQ11" i="8"/>
  <c r="BZ11" i="8"/>
  <c r="BQ13" i="8"/>
  <c r="BH11" i="8"/>
  <c r="BZ13" i="8"/>
  <c r="BH22" i="8"/>
  <c r="BH23" i="8"/>
  <c r="BZ18" i="8"/>
  <c r="BZ23" i="8"/>
  <c r="L58" i="8"/>
  <c r="AB58" i="8" s="1"/>
  <c r="AC58" i="8" s="1"/>
  <c r="AY23" i="8"/>
  <c r="BQ10" i="8"/>
  <c r="AY10" i="8"/>
  <c r="BH10" i="8"/>
  <c r="AP61" i="8"/>
  <c r="H16" i="4"/>
  <c r="AO56" i="8"/>
  <c r="AO53" i="8"/>
  <c r="AO55" i="8"/>
  <c r="AO58" i="8"/>
  <c r="AD45" i="8"/>
  <c r="AN45" i="8" s="1"/>
  <c r="AP45" i="8" s="1"/>
  <c r="AQ45" i="8"/>
  <c r="AZ45" i="8" s="1"/>
  <c r="AD43" i="8"/>
  <c r="AN43" i="8" s="1"/>
  <c r="AO43" i="8" s="1"/>
  <c r="AQ43" i="8"/>
  <c r="AZ43" i="8" s="1"/>
  <c r="BC53" i="8"/>
  <c r="AP52" i="8"/>
  <c r="BC52" i="8" s="1"/>
  <c r="L43" i="8"/>
  <c r="AB43" i="8" s="1"/>
  <c r="AC43" i="8" s="1"/>
  <c r="CB14" i="8"/>
  <c r="BS14" i="8"/>
  <c r="BP18" i="8"/>
  <c r="BY18" i="8"/>
  <c r="CB27" i="8"/>
  <c r="BS27" i="8"/>
  <c r="BQ25" i="8"/>
  <c r="BH25" i="8"/>
  <c r="BZ25" i="8"/>
  <c r="BR12" i="8"/>
  <c r="CA12" i="8"/>
  <c r="BY23" i="8"/>
  <c r="BP23" i="8"/>
  <c r="CB23" i="8"/>
  <c r="BS23" i="8"/>
  <c r="CB21" i="8"/>
  <c r="BS21" i="8"/>
  <c r="CB20" i="8"/>
  <c r="BS20" i="8"/>
  <c r="BP16" i="8"/>
  <c r="BY16" i="8"/>
  <c r="BP29" i="8"/>
  <c r="BY29" i="8"/>
  <c r="CB16" i="8"/>
  <c r="BS16" i="8"/>
  <c r="CB17" i="8"/>
  <c r="BS17" i="8"/>
  <c r="BH30" i="8"/>
  <c r="BQ30" i="8"/>
  <c r="BZ30" i="8"/>
  <c r="BP20" i="8"/>
  <c r="BY20" i="8"/>
  <c r="BP14" i="8"/>
  <c r="BY14" i="8"/>
  <c r="BP13" i="8"/>
  <c r="BY13" i="8"/>
  <c r="CB19" i="8"/>
  <c r="BS19" i="8"/>
  <c r="BP24" i="8"/>
  <c r="BY24" i="8"/>
  <c r="BH15" i="8"/>
  <c r="BZ15" i="8"/>
  <c r="BQ15" i="8"/>
  <c r="BH16" i="8"/>
  <c r="BZ16" i="8"/>
  <c r="BQ16" i="8"/>
  <c r="BZ14" i="8"/>
  <c r="BH14" i="8"/>
  <c r="BQ14" i="8"/>
  <c r="CB15" i="8"/>
  <c r="BS15" i="8"/>
  <c r="CB28" i="8"/>
  <c r="BS28" i="8"/>
  <c r="BZ19" i="8"/>
  <c r="BH19" i="8"/>
  <c r="BQ19" i="8"/>
  <c r="CB10" i="8"/>
  <c r="BS10" i="8"/>
  <c r="BY12" i="8"/>
  <c r="BP12" i="8"/>
  <c r="BP19" i="8"/>
  <c r="BY19" i="8"/>
  <c r="BP15" i="8"/>
  <c r="BY15" i="8"/>
  <c r="BH24" i="8"/>
  <c r="BZ24" i="8"/>
  <c r="BQ24" i="8"/>
  <c r="CA10" i="8"/>
  <c r="BR10" i="8"/>
  <c r="BJ27" i="8"/>
  <c r="BJ14" i="8"/>
  <c r="BJ21" i="8"/>
  <c r="BJ23" i="8"/>
  <c r="BJ20" i="8"/>
  <c r="BJ17" i="8"/>
  <c r="BJ15" i="8"/>
  <c r="BJ28" i="8"/>
  <c r="BJ10" i="8"/>
  <c r="BA10" i="8"/>
  <c r="BJ16" i="8"/>
  <c r="BJ19" i="8"/>
  <c r="AZ10" i="8"/>
  <c r="BI10" i="8"/>
  <c r="CM30" i="8"/>
  <c r="CQ30" i="8" s="1"/>
  <c r="DA30" i="8" s="1"/>
  <c r="K45" i="8"/>
  <c r="AA45" i="8" s="1"/>
  <c r="AZ12" i="8"/>
  <c r="BI12" i="8"/>
  <c r="AX19" i="8"/>
  <c r="BG19" i="8"/>
  <c r="AX13" i="8"/>
  <c r="BG13" i="8"/>
  <c r="AX16" i="8"/>
  <c r="BG16" i="8"/>
  <c r="AX24" i="8"/>
  <c r="BG24" i="8"/>
  <c r="AX29" i="8"/>
  <c r="BG29" i="8"/>
  <c r="AX12" i="8"/>
  <c r="BG12" i="8"/>
  <c r="AX14" i="8"/>
  <c r="BG14" i="8"/>
  <c r="AX18" i="8"/>
  <c r="BG18" i="8"/>
  <c r="AX15" i="8"/>
  <c r="BG15" i="8"/>
  <c r="AX20" i="8"/>
  <c r="BG20" i="8"/>
  <c r="AX23" i="8"/>
  <c r="BG23" i="8"/>
  <c r="CM25" i="8"/>
  <c r="CQ25" i="8" s="1"/>
  <c r="DA25" i="8" s="1"/>
  <c r="AC49" i="8"/>
  <c r="CM11" i="8"/>
  <c r="CQ11" i="8" s="1"/>
  <c r="DA11" i="8" s="1"/>
  <c r="AM19" i="8"/>
  <c r="AC54" i="8"/>
  <c r="AC52" i="8"/>
  <c r="AC53" i="8"/>
  <c r="AI29" i="8"/>
  <c r="AS29" i="8" s="1"/>
  <c r="AC59" i="8"/>
  <c r="CM28" i="8"/>
  <c r="CQ28" i="8" s="1"/>
  <c r="DA28" i="8" s="1"/>
  <c r="AI24" i="8"/>
  <c r="AS24" i="8" s="1"/>
  <c r="AC50" i="8"/>
  <c r="AI26" i="8"/>
  <c r="AS26" i="8" s="1"/>
  <c r="CM27" i="8"/>
  <c r="CQ27" i="8" s="1"/>
  <c r="DA27" i="8" s="1"/>
  <c r="AY15" i="8"/>
  <c r="AY30" i="8"/>
  <c r="AY24" i="8"/>
  <c r="AY19" i="8"/>
  <c r="AY14" i="8"/>
  <c r="AY16" i="8"/>
  <c r="AY25" i="8"/>
  <c r="AM16" i="8"/>
  <c r="L48" i="8"/>
  <c r="AB48" i="8" s="1"/>
  <c r="AC48" i="8" s="1"/>
  <c r="BA15" i="8"/>
  <c r="BA23" i="8"/>
  <c r="BA21" i="8"/>
  <c r="BA16" i="8"/>
  <c r="BA19" i="8"/>
  <c r="BA20" i="8"/>
  <c r="BA27" i="8"/>
  <c r="BA14" i="8"/>
  <c r="BA17" i="8"/>
  <c r="BA28" i="8"/>
  <c r="CM20" i="8"/>
  <c r="CQ20" i="8" s="1"/>
  <c r="DA20" i="8" s="1"/>
  <c r="CM23" i="8"/>
  <c r="CQ23" i="8" s="1"/>
  <c r="DA23" i="8" s="1"/>
  <c r="AI18" i="8"/>
  <c r="AS18" i="8" s="1"/>
  <c r="L46" i="8"/>
  <c r="AB46" i="8" s="1"/>
  <c r="AC46" i="8" s="1"/>
  <c r="AI22" i="8"/>
  <c r="AS22" i="8" s="1"/>
  <c r="AI11" i="8"/>
  <c r="AS11" i="8" s="1"/>
  <c r="L47" i="8"/>
  <c r="AB47" i="8" s="1"/>
  <c r="AC47" i="8" s="1"/>
  <c r="AC55" i="8"/>
  <c r="L44" i="8"/>
  <c r="AB44" i="8" s="1"/>
  <c r="AC44" i="8" s="1"/>
  <c r="L63" i="8"/>
  <c r="AB63" i="8" s="1"/>
  <c r="AC63" i="8" s="1"/>
  <c r="AM24" i="8"/>
  <c r="L57" i="8"/>
  <c r="AB57" i="8" s="1"/>
  <c r="AC57" i="8" s="1"/>
  <c r="AI13" i="8"/>
  <c r="AS13" i="8" s="1"/>
  <c r="AM22" i="8"/>
  <c r="L51" i="8"/>
  <c r="AB51" i="8" s="1"/>
  <c r="AC51" i="8" s="1"/>
  <c r="AM18" i="8"/>
  <c r="AQ12" i="8"/>
  <c r="T12" i="8"/>
  <c r="AM12" i="8" s="1"/>
  <c r="N56" i="8"/>
  <c r="AM23" i="8"/>
  <c r="L56" i="8"/>
  <c r="AB56" i="8" s="1"/>
  <c r="AC56" i="8" s="1"/>
  <c r="AI30" i="8"/>
  <c r="AS30" i="8" s="1"/>
  <c r="N43" i="8"/>
  <c r="AI12" i="8"/>
  <c r="AS12" i="8" s="1"/>
  <c r="AI25" i="8"/>
  <c r="AS25" i="8" s="1"/>
  <c r="BC55" i="8"/>
  <c r="AV56" i="8"/>
  <c r="AW56" i="8" s="1"/>
  <c r="BC56" i="8" s="1"/>
  <c r="AV57" i="8"/>
  <c r="AW57" i="8" s="1"/>
  <c r="BC57" i="8" s="1"/>
  <c r="P30" i="8"/>
  <c r="J63" i="8" s="1"/>
  <c r="Y63" i="8" s="1"/>
  <c r="P24" i="8"/>
  <c r="AL24" i="8" s="1"/>
  <c r="CH26" i="8"/>
  <c r="CM26" i="8" s="1"/>
  <c r="AP22" i="8"/>
  <c r="AP27" i="8"/>
  <c r="AP28" i="8"/>
  <c r="AP25" i="8"/>
  <c r="P28" i="8"/>
  <c r="AL28" i="8" s="1"/>
  <c r="P25" i="8"/>
  <c r="AL25" i="8" s="1"/>
  <c r="AP26" i="8"/>
  <c r="CH21" i="8"/>
  <c r="CM21" i="8" s="1"/>
  <c r="AP30" i="8"/>
  <c r="P27" i="8"/>
  <c r="J60" i="8" s="1"/>
  <c r="Y60" i="8" s="1"/>
  <c r="AL21" i="8"/>
  <c r="J54" i="8"/>
  <c r="Y54" i="8" s="1"/>
  <c r="AL22" i="8"/>
  <c r="J55" i="8"/>
  <c r="Y55" i="8" s="1"/>
  <c r="N54" i="8"/>
  <c r="X54" i="8"/>
  <c r="X43" i="8"/>
  <c r="X47" i="8"/>
  <c r="N47" i="8"/>
  <c r="X46" i="8"/>
  <c r="N46" i="8"/>
  <c r="CH22" i="8"/>
  <c r="N63" i="8"/>
  <c r="X63" i="8"/>
  <c r="X53" i="8"/>
  <c r="N53" i="8"/>
  <c r="CH24" i="8"/>
  <c r="CM24" i="8" s="1"/>
  <c r="N55" i="8"/>
  <c r="X55" i="8"/>
  <c r="N57" i="8"/>
  <c r="X57" i="8"/>
  <c r="X52" i="8"/>
  <c r="N52" i="8"/>
  <c r="X48" i="8"/>
  <c r="N48" i="8"/>
  <c r="P29" i="8"/>
  <c r="CH29" i="8"/>
  <c r="CM29" i="8" s="1"/>
  <c r="N61" i="8"/>
  <c r="X61" i="8"/>
  <c r="X50" i="8"/>
  <c r="N50" i="8"/>
  <c r="X51" i="8"/>
  <c r="N51" i="8"/>
  <c r="AL23" i="8"/>
  <c r="J56" i="8"/>
  <c r="Y56" i="8" s="1"/>
  <c r="Z56" i="8" s="1"/>
  <c r="AP21" i="8"/>
  <c r="N59" i="8"/>
  <c r="X59" i="8"/>
  <c r="N58" i="8"/>
  <c r="X58" i="8"/>
  <c r="X44" i="8"/>
  <c r="N44" i="8"/>
  <c r="X49" i="8"/>
  <c r="N49" i="8"/>
  <c r="X45" i="8"/>
  <c r="N60" i="8"/>
  <c r="X60" i="8"/>
  <c r="AL26" i="8"/>
  <c r="J59" i="8"/>
  <c r="Y59" i="8" s="1"/>
  <c r="N62" i="8"/>
  <c r="X62" i="8"/>
  <c r="CH18" i="8"/>
  <c r="CM18" i="8" s="1"/>
  <c r="P18" i="8"/>
  <c r="AL18" i="8" s="1"/>
  <c r="CH15" i="8"/>
  <c r="P11" i="8"/>
  <c r="J44" i="8" s="1"/>
  <c r="Y44" i="8" s="1"/>
  <c r="CH19" i="8"/>
  <c r="CM17" i="8"/>
  <c r="P15" i="8"/>
  <c r="AL15" i="8" s="1"/>
  <c r="P13" i="8"/>
  <c r="J46" i="8" s="1"/>
  <c r="Y46" i="8" s="1"/>
  <c r="P19" i="8"/>
  <c r="AL19" i="8" s="1"/>
  <c r="CH16" i="8"/>
  <c r="CH13" i="8"/>
  <c r="P16" i="8"/>
  <c r="J49" i="8" s="1"/>
  <c r="Y49" i="8" s="1"/>
  <c r="AP17" i="8"/>
  <c r="CH14" i="8"/>
  <c r="P14" i="8"/>
  <c r="AL14" i="8" s="1"/>
  <c r="AP11" i="8"/>
  <c r="AL17" i="8"/>
  <c r="J50" i="8"/>
  <c r="Y50" i="8" s="1"/>
  <c r="CM10" i="8"/>
  <c r="AP10" i="8"/>
  <c r="J53" i="8"/>
  <c r="Y53" i="8" s="1"/>
  <c r="J45" i="8"/>
  <c r="Y45" i="8" s="1"/>
  <c r="P10" i="8"/>
  <c r="AO45" i="8" l="1"/>
  <c r="J14" i="4"/>
  <c r="AP43" i="8"/>
  <c r="BC43" i="8" s="1"/>
  <c r="BC45" i="8"/>
  <c r="CR23" i="8"/>
  <c r="DB23" i="8" s="1"/>
  <c r="CR13" i="8"/>
  <c r="DB13" i="8" s="1"/>
  <c r="CB13" i="8"/>
  <c r="BS13" i="8"/>
  <c r="BY10" i="8"/>
  <c r="BP10" i="8"/>
  <c r="BP17" i="8"/>
  <c r="BY17" i="8"/>
  <c r="BP28" i="8"/>
  <c r="BY28" i="8"/>
  <c r="CB22" i="8"/>
  <c r="BS22" i="8"/>
  <c r="CT23" i="8"/>
  <c r="DD23" i="8" s="1"/>
  <c r="BP25" i="8"/>
  <c r="BY25" i="8"/>
  <c r="CB11" i="8"/>
  <c r="BS11" i="8"/>
  <c r="BY27" i="8"/>
  <c r="BP27" i="8"/>
  <c r="CB26" i="8"/>
  <c r="BS26" i="8"/>
  <c r="CT19" i="8"/>
  <c r="DD19" i="8" s="1"/>
  <c r="CT27" i="8"/>
  <c r="DD27" i="8" s="1"/>
  <c r="BY30" i="8"/>
  <c r="BP30" i="8"/>
  <c r="BP22" i="8"/>
  <c r="BY22" i="8"/>
  <c r="CB25" i="8"/>
  <c r="BS25" i="8"/>
  <c r="CB18" i="8"/>
  <c r="BS18" i="8"/>
  <c r="CT28" i="8"/>
  <c r="DD28" i="8" s="1"/>
  <c r="BZ12" i="8"/>
  <c r="BH12" i="8"/>
  <c r="BQ12" i="8"/>
  <c r="CB24" i="8"/>
  <c r="BS24" i="8"/>
  <c r="BP11" i="8"/>
  <c r="BY11" i="8"/>
  <c r="BP26" i="8"/>
  <c r="BY26" i="8"/>
  <c r="CB12" i="8"/>
  <c r="BS12" i="8"/>
  <c r="CR20" i="8"/>
  <c r="DB20" i="8" s="1"/>
  <c r="CT15" i="8"/>
  <c r="DD15" i="8" s="1"/>
  <c r="CT17" i="8"/>
  <c r="DD17" i="8" s="1"/>
  <c r="CT20" i="8"/>
  <c r="DD20" i="8" s="1"/>
  <c r="CT10" i="8"/>
  <c r="DD10" i="8" s="1"/>
  <c r="CT14" i="8"/>
  <c r="DD14" i="8" s="1"/>
  <c r="BY21" i="8"/>
  <c r="BP21" i="8"/>
  <c r="CB30" i="8"/>
  <c r="BS30" i="8"/>
  <c r="CB29" i="8"/>
  <c r="BS29" i="8"/>
  <c r="CR15" i="8"/>
  <c r="DB15" i="8" s="1"/>
  <c r="CR29" i="8"/>
  <c r="DB29" i="8" s="1"/>
  <c r="CR19" i="8"/>
  <c r="DB19" i="8" s="1"/>
  <c r="CT16" i="8"/>
  <c r="DD16" i="8" s="1"/>
  <c r="CT21" i="8"/>
  <c r="DD21" i="8" s="1"/>
  <c r="CR14" i="8"/>
  <c r="DB14" i="8" s="1"/>
  <c r="CR18" i="8"/>
  <c r="DB18" i="8" s="1"/>
  <c r="CR24" i="8"/>
  <c r="DB24" i="8" s="1"/>
  <c r="CR16" i="8"/>
  <c r="DB16" i="8" s="1"/>
  <c r="BJ13" i="8"/>
  <c r="BJ11" i="8"/>
  <c r="BJ29" i="8"/>
  <c r="BJ22" i="8"/>
  <c r="BJ25" i="8"/>
  <c r="BJ18" i="8"/>
  <c r="AX10" i="8"/>
  <c r="BG10" i="8"/>
  <c r="BJ12" i="8"/>
  <c r="BJ24" i="8"/>
  <c r="BJ30" i="8"/>
  <c r="N45" i="8"/>
  <c r="H28" i="4" s="1"/>
  <c r="AX22" i="8"/>
  <c r="BG22" i="8"/>
  <c r="AX25" i="8"/>
  <c r="BG25" i="8"/>
  <c r="AX17" i="8"/>
  <c r="BG17" i="8"/>
  <c r="AX21" i="8"/>
  <c r="BG21" i="8"/>
  <c r="AX30" i="8"/>
  <c r="BG30" i="8"/>
  <c r="AX28" i="8"/>
  <c r="BG28" i="8"/>
  <c r="AX26" i="8"/>
  <c r="BG26" i="8"/>
  <c r="AX11" i="8"/>
  <c r="BG11" i="8"/>
  <c r="AX27" i="8"/>
  <c r="BG27" i="8"/>
  <c r="BA26" i="8"/>
  <c r="BJ26" i="8"/>
  <c r="CM12" i="8"/>
  <c r="CQ12" i="8" s="1"/>
  <c r="DA12" i="8" s="1"/>
  <c r="CM14" i="8"/>
  <c r="CQ14" i="8" s="1"/>
  <c r="DA14" i="8" s="1"/>
  <c r="CM22" i="8"/>
  <c r="CQ22" i="8" s="1"/>
  <c r="DA22" i="8" s="1"/>
  <c r="CM15" i="8"/>
  <c r="CQ15" i="8" s="1"/>
  <c r="DA15" i="8" s="1"/>
  <c r="CM19" i="8"/>
  <c r="CQ19" i="8" s="1"/>
  <c r="DA19" i="8" s="1"/>
  <c r="CM16" i="8"/>
  <c r="CQ16" i="8" s="1"/>
  <c r="DA16" i="8" s="1"/>
  <c r="CM13" i="8"/>
  <c r="CQ13" i="8" s="1"/>
  <c r="DA13" i="8" s="1"/>
  <c r="BA24" i="8"/>
  <c r="CQ17" i="8"/>
  <c r="DA17" i="8" s="1"/>
  <c r="CQ24" i="8"/>
  <c r="DA24" i="8" s="1"/>
  <c r="BA29" i="8"/>
  <c r="CQ26" i="8"/>
  <c r="DA26" i="8" s="1"/>
  <c r="AY12" i="8"/>
  <c r="L45" i="8"/>
  <c r="AB45" i="8" s="1"/>
  <c r="AC45" i="8" s="1"/>
  <c r="BA18" i="8"/>
  <c r="BA11" i="8"/>
  <c r="BA12" i="8"/>
  <c r="BA22" i="8"/>
  <c r="BA25" i="8"/>
  <c r="BA13" i="8"/>
  <c r="BA30" i="8"/>
  <c r="CQ21" i="8"/>
  <c r="DA21" i="8" s="1"/>
  <c r="CQ29" i="8"/>
  <c r="DA29" i="8" s="1"/>
  <c r="CQ10" i="8"/>
  <c r="DA10" i="8" s="1"/>
  <c r="CQ18" i="8"/>
  <c r="DA18" i="8" s="1"/>
  <c r="AF56" i="8"/>
  <c r="AG56" i="8" s="1"/>
  <c r="AI56" i="8" s="1"/>
  <c r="AK56" i="8" s="1"/>
  <c r="AV58" i="8"/>
  <c r="AW58" i="8" s="1"/>
  <c r="BC58" i="8" s="1"/>
  <c r="AV59" i="8"/>
  <c r="AW59" i="8" s="1"/>
  <c r="BC59" i="8" s="1"/>
  <c r="AL27" i="8"/>
  <c r="AL30" i="8"/>
  <c r="J57" i="8"/>
  <c r="Y57" i="8" s="1"/>
  <c r="Z57" i="8" s="1"/>
  <c r="AF57" i="8" s="1"/>
  <c r="AG57" i="8" s="1"/>
  <c r="AI57" i="8" s="1"/>
  <c r="AK57" i="8" s="1"/>
  <c r="Z50" i="8"/>
  <c r="AF50" i="8" s="1"/>
  <c r="AG50" i="8" s="1"/>
  <c r="AI50" i="8" s="1"/>
  <c r="AK50" i="8" s="1"/>
  <c r="Z46" i="8"/>
  <c r="AF46" i="8" s="1"/>
  <c r="AG46" i="8" s="1"/>
  <c r="AI46" i="8" s="1"/>
  <c r="AK46" i="8" s="1"/>
  <c r="Z54" i="8"/>
  <c r="AF54" i="8" s="1"/>
  <c r="AG54" i="8" s="1"/>
  <c r="AI54" i="8" s="1"/>
  <c r="AY54" i="8" s="1"/>
  <c r="BB54" i="8" s="1"/>
  <c r="CS21" i="8" s="1"/>
  <c r="DC21" i="8" s="1"/>
  <c r="J58" i="8"/>
  <c r="Y58" i="8" s="1"/>
  <c r="Z58" i="8" s="1"/>
  <c r="AF58" i="8" s="1"/>
  <c r="AG58" i="8" s="1"/>
  <c r="AI58" i="8" s="1"/>
  <c r="AY58" i="8" s="1"/>
  <c r="BB58" i="8" s="1"/>
  <c r="J61" i="8"/>
  <c r="Y61" i="8" s="1"/>
  <c r="Z61" i="8" s="1"/>
  <c r="AF61" i="8" s="1"/>
  <c r="AG61" i="8" s="1"/>
  <c r="AI61" i="8" s="1"/>
  <c r="Z55" i="8"/>
  <c r="AF55" i="8" s="1"/>
  <c r="AG55" i="8" s="1"/>
  <c r="AI55" i="8" s="1"/>
  <c r="AL55" i="8" s="1"/>
  <c r="Z45" i="8"/>
  <c r="Z49" i="8"/>
  <c r="AF49" i="8" s="1"/>
  <c r="AG49" i="8" s="1"/>
  <c r="AI49" i="8" s="1"/>
  <c r="AY49" i="8" s="1"/>
  <c r="BB49" i="8" s="1"/>
  <c r="CS16" i="8" s="1"/>
  <c r="DC16" i="8" s="1"/>
  <c r="Z63" i="8"/>
  <c r="AF63" i="8" s="1"/>
  <c r="AG63" i="8" s="1"/>
  <c r="AI63" i="8" s="1"/>
  <c r="Z44" i="8"/>
  <c r="AF44" i="8" s="1"/>
  <c r="AG44" i="8" s="1"/>
  <c r="AI44" i="8" s="1"/>
  <c r="AK44" i="8" s="1"/>
  <c r="Z59" i="8"/>
  <c r="AF59" i="8" s="1"/>
  <c r="AG59" i="8" s="1"/>
  <c r="AI59" i="8" s="1"/>
  <c r="AL29" i="8"/>
  <c r="J62" i="8"/>
  <c r="Y62" i="8" s="1"/>
  <c r="Z62" i="8" s="1"/>
  <c r="AF62" i="8" s="1"/>
  <c r="AG62" i="8" s="1"/>
  <c r="AI62" i="8" s="1"/>
  <c r="Z53" i="8"/>
  <c r="AF53" i="8" s="1"/>
  <c r="AG53" i="8" s="1"/>
  <c r="AI53" i="8" s="1"/>
  <c r="AY53" i="8" s="1"/>
  <c r="BB53" i="8" s="1"/>
  <c r="Z60" i="8"/>
  <c r="AF60" i="8" s="1"/>
  <c r="AG60" i="8" s="1"/>
  <c r="AI60" i="8" s="1"/>
  <c r="AL11" i="8"/>
  <c r="J51" i="8"/>
  <c r="Y51" i="8" s="1"/>
  <c r="Z51" i="8" s="1"/>
  <c r="AF51" i="8" s="1"/>
  <c r="AG51" i="8" s="1"/>
  <c r="AI51" i="8" s="1"/>
  <c r="AK51" i="8" s="1"/>
  <c r="J47" i="8"/>
  <c r="Y47" i="8" s="1"/>
  <c r="Z47" i="8" s="1"/>
  <c r="AF47" i="8" s="1"/>
  <c r="AG47" i="8" s="1"/>
  <c r="AI47" i="8" s="1"/>
  <c r="AK47" i="8" s="1"/>
  <c r="AL13" i="8"/>
  <c r="J48" i="8"/>
  <c r="Y48" i="8" s="1"/>
  <c r="Z48" i="8" s="1"/>
  <c r="AF48" i="8" s="1"/>
  <c r="AG48" i="8" s="1"/>
  <c r="AI48" i="8" s="1"/>
  <c r="AY48" i="8" s="1"/>
  <c r="BB48" i="8" s="1"/>
  <c r="CS15" i="8" s="1"/>
  <c r="DC15" i="8" s="1"/>
  <c r="AL16" i="8"/>
  <c r="J52" i="8"/>
  <c r="Y52" i="8" s="1"/>
  <c r="Z52" i="8" s="1"/>
  <c r="AF52" i="8" s="1"/>
  <c r="AG52" i="8" s="1"/>
  <c r="AI52" i="8" s="1"/>
  <c r="AY52" i="8" s="1"/>
  <c r="BB52" i="8" s="1"/>
  <c r="CS19" i="8" s="1"/>
  <c r="DC19" i="8" s="1"/>
  <c r="AL10" i="8"/>
  <c r="J43" i="8"/>
  <c r="Y43" i="8" s="1"/>
  <c r="Z43" i="8" s="1"/>
  <c r="AF43" i="8" s="1"/>
  <c r="AG43" i="8" s="1"/>
  <c r="AI43" i="8" s="1"/>
  <c r="K14" i="4" l="1"/>
  <c r="CR10" i="8"/>
  <c r="DB10" i="8" s="1"/>
  <c r="CR26" i="8"/>
  <c r="DB26" i="8" s="1"/>
  <c r="CR17" i="8"/>
  <c r="DB17" i="8" s="1"/>
  <c r="CT24" i="8"/>
  <c r="DD24" i="8" s="1"/>
  <c r="CR12" i="8"/>
  <c r="DB12" i="8" s="1"/>
  <c r="DE19" i="8"/>
  <c r="CT18" i="8"/>
  <c r="DD18" i="8" s="1"/>
  <c r="CT12" i="8"/>
  <c r="DD12" i="8" s="1"/>
  <c r="CT25" i="8"/>
  <c r="CT26" i="8"/>
  <c r="DD26" i="8" s="1"/>
  <c r="CT29" i="8"/>
  <c r="DD29" i="8" s="1"/>
  <c r="DE16" i="8"/>
  <c r="CT22" i="8"/>
  <c r="DD22" i="8" s="1"/>
  <c r="CT30" i="8"/>
  <c r="DD30" i="8" s="1"/>
  <c r="CT13" i="8"/>
  <c r="DD13" i="8" s="1"/>
  <c r="DE15" i="8"/>
  <c r="CT11" i="8"/>
  <c r="DD11" i="8" s="1"/>
  <c r="CR11" i="8"/>
  <c r="DB11" i="8" s="1"/>
  <c r="CR21" i="8"/>
  <c r="DB21" i="8" s="1"/>
  <c r="CR28" i="8"/>
  <c r="DB28" i="8" s="1"/>
  <c r="CR25" i="8"/>
  <c r="CR27" i="8"/>
  <c r="DB27" i="8" s="1"/>
  <c r="CR30" i="8"/>
  <c r="DB30" i="8" s="1"/>
  <c r="CR22" i="8"/>
  <c r="DB22" i="8" s="1"/>
  <c r="CU15" i="8"/>
  <c r="CU16" i="8"/>
  <c r="CU19" i="8"/>
  <c r="AJ56" i="8"/>
  <c r="CW23" i="8" s="1"/>
  <c r="AL56" i="8"/>
  <c r="AY56" i="8"/>
  <c r="BB56" i="8" s="1"/>
  <c r="CS23" i="8" s="1"/>
  <c r="DC23" i="8" s="1"/>
  <c r="CS25" i="8"/>
  <c r="CS20" i="8"/>
  <c r="DC20" i="8" s="1"/>
  <c r="AV61" i="8"/>
  <c r="AW61" i="8" s="1"/>
  <c r="BC61" i="8" s="1"/>
  <c r="AV63" i="8"/>
  <c r="AW63" i="8" s="1"/>
  <c r="AV60" i="8"/>
  <c r="AW60" i="8" s="1"/>
  <c r="BC60" i="8" s="1"/>
  <c r="AV62" i="8"/>
  <c r="AW62" i="8" s="1"/>
  <c r="BC62" i="8" s="1"/>
  <c r="AJ49" i="8"/>
  <c r="CW16" i="8" s="1"/>
  <c r="AJ50" i="8"/>
  <c r="CW17" i="8" s="1"/>
  <c r="AY50" i="8"/>
  <c r="BB50" i="8" s="1"/>
  <c r="CS17" i="8" s="1"/>
  <c r="DC17" i="8" s="1"/>
  <c r="AL50" i="8"/>
  <c r="AK49" i="8"/>
  <c r="AJ46" i="8"/>
  <c r="CW13" i="8" s="1"/>
  <c r="AJ57" i="8"/>
  <c r="CW24" i="8" s="1"/>
  <c r="AY57" i="8"/>
  <c r="BB57" i="8" s="1"/>
  <c r="CS24" i="8" s="1"/>
  <c r="DC24" i="8" s="1"/>
  <c r="AL46" i="8"/>
  <c r="AL57" i="8"/>
  <c r="AL54" i="8"/>
  <c r="AY46" i="8"/>
  <c r="BB46" i="8" s="1"/>
  <c r="CS13" i="8" s="1"/>
  <c r="DC13" i="8" s="1"/>
  <c r="AJ54" i="8"/>
  <c r="CW21" i="8" s="1"/>
  <c r="AK54" i="8"/>
  <c r="AL49" i="8"/>
  <c r="AJ53" i="8"/>
  <c r="CW20" i="8" s="1"/>
  <c r="AK55" i="8"/>
  <c r="AK58" i="8"/>
  <c r="AK53" i="8"/>
  <c r="AJ55" i="8"/>
  <c r="CW22" i="8" s="1"/>
  <c r="AL58" i="8"/>
  <c r="AL53" i="8"/>
  <c r="AY55" i="8"/>
  <c r="BB55" i="8" s="1"/>
  <c r="CS22" i="8" s="1"/>
  <c r="DC22" i="8" s="1"/>
  <c r="AJ58" i="8"/>
  <c r="CW25" i="8" s="1"/>
  <c r="AL44" i="8"/>
  <c r="AJ44" i="8"/>
  <c r="CW11" i="8" s="1"/>
  <c r="AY44" i="8"/>
  <c r="BB44" i="8" s="1"/>
  <c r="CS11" i="8" s="1"/>
  <c r="DC11" i="8" s="1"/>
  <c r="AK62" i="8"/>
  <c r="AL62" i="8"/>
  <c r="AY62" i="8"/>
  <c r="BB62" i="8" s="1"/>
  <c r="AJ62" i="8"/>
  <c r="CW29" i="8" s="1"/>
  <c r="AL63" i="8"/>
  <c r="AK63" i="8"/>
  <c r="AJ63" i="8"/>
  <c r="CW30" i="8" s="1"/>
  <c r="AY63" i="8"/>
  <c r="BB63" i="8" s="1"/>
  <c r="AY61" i="8"/>
  <c r="BB61" i="8" s="1"/>
  <c r="AJ61" i="8"/>
  <c r="CW28" i="8" s="1"/>
  <c r="AK61" i="8"/>
  <c r="AL61" i="8"/>
  <c r="AL59" i="8"/>
  <c r="AJ59" i="8"/>
  <c r="CW26" i="8" s="1"/>
  <c r="AY59" i="8"/>
  <c r="BB59" i="8" s="1"/>
  <c r="CS26" i="8" s="1"/>
  <c r="DC26" i="8" s="1"/>
  <c r="AK59" i="8"/>
  <c r="AK60" i="8"/>
  <c r="AY60" i="8"/>
  <c r="BB60" i="8" s="1"/>
  <c r="AJ60" i="8"/>
  <c r="CW27" i="8" s="1"/>
  <c r="AL60" i="8"/>
  <c r="AL51" i="8"/>
  <c r="AY47" i="8"/>
  <c r="BB47" i="8" s="1"/>
  <c r="CS14" i="8" s="1"/>
  <c r="DC14" i="8" s="1"/>
  <c r="AL48" i="8"/>
  <c r="AK48" i="8"/>
  <c r="AY51" i="8"/>
  <c r="BB51" i="8" s="1"/>
  <c r="CS18" i="8" s="1"/>
  <c r="DC18" i="8" s="1"/>
  <c r="AL47" i="8"/>
  <c r="AJ47" i="8"/>
  <c r="CW14" i="8" s="1"/>
  <c r="AJ48" i="8"/>
  <c r="CW15" i="8" s="1"/>
  <c r="AJ51" i="8"/>
  <c r="CW18" i="8" s="1"/>
  <c r="AL52" i="8"/>
  <c r="AK52" i="8"/>
  <c r="AJ52" i="8"/>
  <c r="CW19" i="8" s="1"/>
  <c r="AL43" i="8"/>
  <c r="AJ43" i="8"/>
  <c r="CW10" i="8" s="1"/>
  <c r="AK43" i="8"/>
  <c r="AY43" i="8"/>
  <c r="BB43" i="8" s="1"/>
  <c r="CS10" i="8" s="1"/>
  <c r="DC10" i="8" s="1"/>
  <c r="DC25" i="8" l="1"/>
  <c r="DB25" i="8"/>
  <c r="L14" i="4"/>
  <c r="DD25" i="8"/>
  <c r="N14" i="4"/>
  <c r="DE17" i="8"/>
  <c r="DE26" i="8"/>
  <c r="CU23" i="8"/>
  <c r="DE23" i="8"/>
  <c r="CU14" i="8"/>
  <c r="CU24" i="8"/>
  <c r="DE24" i="8"/>
  <c r="CU21" i="8"/>
  <c r="DE21" i="8"/>
  <c r="DE11" i="8"/>
  <c r="CU18" i="8"/>
  <c r="DE18" i="8"/>
  <c r="CU13" i="8"/>
  <c r="DE13" i="8"/>
  <c r="CU20" i="8"/>
  <c r="DE20" i="8"/>
  <c r="DE22" i="8"/>
  <c r="CU17" i="8"/>
  <c r="CU26" i="8"/>
  <c r="CU11" i="8"/>
  <c r="CU22" i="8"/>
  <c r="CU25" i="8"/>
  <c r="CS28" i="8"/>
  <c r="DC28" i="8" s="1"/>
  <c r="CS30" i="8"/>
  <c r="DC30" i="8" s="1"/>
  <c r="CS27" i="8"/>
  <c r="DC27" i="8" s="1"/>
  <c r="CS29" i="8"/>
  <c r="DC29" i="8" s="1"/>
  <c r="CU10" i="8"/>
  <c r="DE25" i="8" l="1"/>
  <c r="DE10" i="8"/>
  <c r="DF10" i="8" s="1"/>
  <c r="CV10" i="8"/>
  <c r="CV11" i="8"/>
  <c r="CU28" i="8"/>
  <c r="CV28" i="8" s="1"/>
  <c r="DE28" i="8"/>
  <c r="CU30" i="8"/>
  <c r="CV30" i="8" s="1"/>
  <c r="DE30" i="8"/>
  <c r="CU29" i="8"/>
  <c r="CV29" i="8" s="1"/>
  <c r="DE29" i="8"/>
  <c r="DE14" i="8"/>
  <c r="CU27" i="8"/>
  <c r="CV27" i="8" s="1"/>
  <c r="DE27" i="8"/>
  <c r="CV25" i="8"/>
  <c r="CV24" i="8"/>
  <c r="CV26" i="8"/>
  <c r="CV21" i="8"/>
  <c r="CV23" i="8"/>
  <c r="CV22" i="8"/>
  <c r="CV20" i="8"/>
  <c r="CV16" i="8"/>
  <c r="CV15" i="8"/>
  <c r="CV19" i="8"/>
  <c r="CV13" i="8"/>
  <c r="CV18" i="8"/>
  <c r="CV14" i="8"/>
  <c r="CV17" i="8"/>
  <c r="DF13" i="8" l="1"/>
  <c r="DF26" i="8"/>
  <c r="DF11" i="8"/>
  <c r="DF20" i="8"/>
  <c r="DF29" i="8"/>
  <c r="DF30" i="8"/>
  <c r="DF22" i="8"/>
  <c r="DF25" i="8"/>
  <c r="DF27" i="8"/>
  <c r="DF24" i="8"/>
  <c r="DF16" i="8"/>
  <c r="DF17" i="8"/>
  <c r="DF15" i="8"/>
  <c r="DF28" i="8"/>
  <c r="DF21" i="8"/>
  <c r="DF18" i="8"/>
  <c r="DF19" i="8"/>
  <c r="DF23" i="8"/>
  <c r="DF14" i="8"/>
  <c r="I12" i="8" l="1"/>
  <c r="AK12" i="8" s="1"/>
  <c r="H45" i="8" l="1"/>
  <c r="V45" i="8" s="1"/>
  <c r="W45" i="8" s="1"/>
  <c r="AF45" i="8" s="1"/>
  <c r="AG45" i="8" s="1"/>
  <c r="AI45" i="8" s="1"/>
  <c r="AK45" i="8" l="1"/>
  <c r="AJ45" i="8"/>
  <c r="CW12" i="8" s="1"/>
  <c r="AY45" i="8"/>
  <c r="BB45" i="8" s="1"/>
  <c r="CS12" i="8" s="1"/>
  <c r="M14" i="4" s="1"/>
  <c r="AL45" i="8"/>
  <c r="DC12" i="8" l="1"/>
  <c r="DE12" i="8" s="1"/>
  <c r="CU12" i="8"/>
  <c r="CV12" i="8" l="1"/>
  <c r="O14" i="4"/>
  <c r="DF12" i="8"/>
  <c r="O17" i="4"/>
</calcChain>
</file>

<file path=xl/sharedStrings.xml><?xml version="1.0" encoding="utf-8"?>
<sst xmlns="http://schemas.openxmlformats.org/spreadsheetml/2006/main" count="971" uniqueCount="473">
  <si>
    <t>RAP</t>
  </si>
  <si>
    <t>RAP_F</t>
  </si>
  <si>
    <t>GEST</t>
  </si>
  <si>
    <t>GEST_F</t>
  </si>
  <si>
    <t>FÜLL</t>
  </si>
  <si>
    <t>BIT</t>
  </si>
  <si>
    <t>GESAMT</t>
  </si>
  <si>
    <t>Summe</t>
  </si>
  <si>
    <t>RAP_W</t>
  </si>
  <si>
    <t>GEST_W</t>
  </si>
  <si>
    <t>FÜLL_W</t>
  </si>
  <si>
    <t>kg CO2-eq/kWh Strom (Industrie Mix AT)</t>
  </si>
  <si>
    <t>%</t>
  </si>
  <si>
    <t>kg/t</t>
  </si>
  <si>
    <t>kJ/t</t>
  </si>
  <si>
    <t>RAP [kg]</t>
  </si>
  <si>
    <t>Neumineral [kg]</t>
  </si>
  <si>
    <t>Bitumen [kg]</t>
  </si>
  <si>
    <t>hohe Streuung</t>
  </si>
  <si>
    <t>Fremdfüller [kg]</t>
  </si>
  <si>
    <t>Transport</t>
  </si>
  <si>
    <t>kg CO2-eq/tkm (50% Beladung (voll hin - leer zurück)</t>
  </si>
  <si>
    <t>Erdgas [kWh]</t>
  </si>
  <si>
    <t>kgCO2-eq/kWh</t>
  </si>
  <si>
    <t>spezifische Wärmekapazität</t>
  </si>
  <si>
    <t>Asphalt</t>
  </si>
  <si>
    <t>kJ/(kgK)</t>
  </si>
  <si>
    <t xml:space="preserve">Gestein </t>
  </si>
  <si>
    <t>Wasser flüssig</t>
  </si>
  <si>
    <t>Bitumen</t>
  </si>
  <si>
    <t>°C</t>
  </si>
  <si>
    <t>% RAP</t>
  </si>
  <si>
    <t>Materialrucksack</t>
  </si>
  <si>
    <t>Transport zur AMA</t>
  </si>
  <si>
    <t>Transport zur BST</t>
  </si>
  <si>
    <t>untere Grenze</t>
  </si>
  <si>
    <t>obere Grenze</t>
  </si>
  <si>
    <t>Strom [kWh]</t>
  </si>
  <si>
    <t>Heizöl [kWh]</t>
  </si>
  <si>
    <t>Steinkohle [kWh]</t>
  </si>
  <si>
    <t>Energieträger</t>
  </si>
  <si>
    <t>Energieträger [kWh]</t>
  </si>
  <si>
    <t>PmB</t>
  </si>
  <si>
    <t>PmB [kg]</t>
  </si>
  <si>
    <t>AT</t>
  </si>
  <si>
    <t>kWh</t>
  </si>
  <si>
    <t>Electricity grid mix 1kV-60kV</t>
  </si>
  <si>
    <t>Thermal energy from biogas</t>
  </si>
  <si>
    <t>Thermal energy from hard coal</t>
  </si>
  <si>
    <t>Thermal energy from heavy fuel oil (HFO)</t>
  </si>
  <si>
    <t>Thermal energy from natural gas</t>
  </si>
  <si>
    <t>km</t>
  </si>
  <si>
    <t>-</t>
  </si>
  <si>
    <t>CO2</t>
  </si>
  <si>
    <t>CH4</t>
  </si>
  <si>
    <t>Erdgas</t>
  </si>
  <si>
    <t>Steinkohle</t>
  </si>
  <si>
    <t>1tkm transport</t>
  </si>
  <si>
    <t>IPCC  2013 GWP100a</t>
  </si>
  <si>
    <t>lorry &gt; 32t</t>
  </si>
  <si>
    <t>EURO 3</t>
  </si>
  <si>
    <t>kg CO2-Eq</t>
  </si>
  <si>
    <t>RER</t>
  </si>
  <si>
    <t>EURO 4</t>
  </si>
  <si>
    <t>EURO 5</t>
  </si>
  <si>
    <t>EURO 6</t>
  </si>
  <si>
    <t>Anteil EUR3</t>
  </si>
  <si>
    <t>Anteil EUR4</t>
  </si>
  <si>
    <t>Anteil EUR5</t>
  </si>
  <si>
    <t>Anteil EUR6</t>
  </si>
  <si>
    <t>kJ/kg @ 100°C</t>
  </si>
  <si>
    <t>kg</t>
  </si>
  <si>
    <t>RAP trocken</t>
  </si>
  <si>
    <t>RAP feucht</t>
  </si>
  <si>
    <t>RAP Wasser</t>
  </si>
  <si>
    <t>Gestein im RAP</t>
  </si>
  <si>
    <t>Bitumen im RAP</t>
  </si>
  <si>
    <t>GESTEIN</t>
  </si>
  <si>
    <t>RAP_FÜLL</t>
  </si>
  <si>
    <t>RAP_GEST</t>
  </si>
  <si>
    <t>RAP_BIT</t>
  </si>
  <si>
    <t>Füller im RAP</t>
  </si>
  <si>
    <t>Füller trocken</t>
  </si>
  <si>
    <t>Füller feucht</t>
  </si>
  <si>
    <t>Füller Wasser</t>
  </si>
  <si>
    <t>Gestein trocken</t>
  </si>
  <si>
    <t>Gestein feucht</t>
  </si>
  <si>
    <t>Gestein Wasser</t>
  </si>
  <si>
    <t>BITUMEN</t>
  </si>
  <si>
    <t>Bitumen frisch</t>
  </si>
  <si>
    <t>PRÜFUNG</t>
  </si>
  <si>
    <t>REZEPT</t>
  </si>
  <si>
    <t>ASPHALT</t>
  </si>
  <si>
    <t>WASSER</t>
  </si>
  <si>
    <t>Gesamtanteil Gestein</t>
  </si>
  <si>
    <t>Gesamtanteil Füller</t>
  </si>
  <si>
    <t>Gesamtanteil Bitumen</t>
  </si>
  <si>
    <t>Gesamtanteil</t>
  </si>
  <si>
    <t>Wasser im RAP</t>
  </si>
  <si>
    <t>Wasser im Gestein</t>
  </si>
  <si>
    <t>Wasser im Füller</t>
  </si>
  <si>
    <t>Transportmasse Gestein</t>
  </si>
  <si>
    <t>Transportmasse Füller</t>
  </si>
  <si>
    <t>Transportmasse RAP</t>
  </si>
  <si>
    <t>Transportmasse Bitumen</t>
  </si>
  <si>
    <t>TRANSPORT</t>
  </si>
  <si>
    <t>Ausgangstemperatur °C</t>
  </si>
  <si>
    <t>Zieltemperatur °C</t>
  </si>
  <si>
    <t>ΔT °K</t>
  </si>
  <si>
    <t>Verdampfen</t>
  </si>
  <si>
    <t>Link zur Eingabemaske</t>
  </si>
  <si>
    <t>ZUSAMMENSTELLUNG MASSEN</t>
  </si>
  <si>
    <t>TROCKNUNGSENERGIE</t>
  </si>
  <si>
    <t>RAP_GES</t>
  </si>
  <si>
    <t>GEST_GES</t>
  </si>
  <si>
    <t>FÜLL_GES</t>
  </si>
  <si>
    <t>MINERAL</t>
  </si>
  <si>
    <t>kWh/m³</t>
  </si>
  <si>
    <t>WIRKUNGSGRAD</t>
  </si>
  <si>
    <t>kWh/t</t>
  </si>
  <si>
    <t>kWh/kg</t>
  </si>
  <si>
    <t>kWh/l</t>
  </si>
  <si>
    <t>SUMME</t>
  </si>
  <si>
    <t>ERWÄRMUNG MINERAL</t>
  </si>
  <si>
    <t>m³/t</t>
  </si>
  <si>
    <t>l/t</t>
  </si>
  <si>
    <t>Heizöl leicht</t>
  </si>
  <si>
    <t>Energie</t>
  </si>
  <si>
    <t>elekt. Strom</t>
  </si>
  <si>
    <t>elektr. Strom</t>
  </si>
  <si>
    <t>Annahme + manuelle Steigerung</t>
  </si>
  <si>
    <t>WIRKUNGSGRAD ELEKTR. ANL.</t>
  </si>
  <si>
    <t>WIRKUNGSGRAD BITUMEN</t>
  </si>
  <si>
    <t>ZUSAMMENFASSUNG ENERGIE</t>
  </si>
  <si>
    <t>Heizenergie</t>
  </si>
  <si>
    <t>elektr. Energie</t>
  </si>
  <si>
    <t>kgCO2e/t</t>
  </si>
  <si>
    <t>TRANSPORT GWP</t>
  </si>
  <si>
    <t>ENERIGE GWP</t>
  </si>
  <si>
    <t>MATERIALRUCKSACK GWP</t>
  </si>
  <si>
    <t>RUCKSACK</t>
  </si>
  <si>
    <t>ANTRANSPORT</t>
  </si>
  <si>
    <t>HERSTELLUNG</t>
  </si>
  <si>
    <t>ABTRANSPORT</t>
  </si>
  <si>
    <t>Herstellung Mischgut</t>
  </si>
  <si>
    <t>GWP 100a</t>
  </si>
  <si>
    <t>kg CO2e</t>
  </si>
  <si>
    <t>3% Feuchte</t>
  </si>
  <si>
    <t>170°C MGT</t>
  </si>
  <si>
    <t>4% Feuchte</t>
  </si>
  <si>
    <t>5% Feuchte</t>
  </si>
  <si>
    <t>6% Feuchte</t>
  </si>
  <si>
    <t>0% Feuchte</t>
  </si>
  <si>
    <t>1% Feuchte</t>
  </si>
  <si>
    <t>2% Feuchte</t>
  </si>
  <si>
    <t>Mischuttemperatur 170 °C</t>
  </si>
  <si>
    <t>Feuchtigkeit RAP</t>
  </si>
  <si>
    <t>Erwärmungstemperatur Neumineral</t>
  </si>
  <si>
    <t>170°C Mischguttemperatur</t>
  </si>
  <si>
    <t>kg CO2-eq/t</t>
  </si>
  <si>
    <t>Nutzungsbedingungen:</t>
  </si>
  <si>
    <t>Kontakt:</t>
  </si>
  <si>
    <t>Ökostrom [kWh]</t>
  </si>
  <si>
    <t>MG-Temp.</t>
  </si>
  <si>
    <t>Ja</t>
  </si>
  <si>
    <t>Nein</t>
  </si>
  <si>
    <t>Heizöl</t>
  </si>
  <si>
    <t>https://secure.umweltbundesamt.at/co2mon/co2mon.html</t>
  </si>
  <si>
    <t>Menge</t>
  </si>
  <si>
    <t>Einheit</t>
  </si>
  <si>
    <t>Gesamtmenge</t>
  </si>
  <si>
    <t>CO2-Äquivalent</t>
  </si>
  <si>
    <t xml:space="preserve"> inkl. Vorkette</t>
  </si>
  <si>
    <t>Stromaufbringung Österreich</t>
  </si>
  <si>
    <t>Kraftwerkspark Österreich</t>
  </si>
  <si>
    <t>Umweltzeichen "Grüner Strom"</t>
  </si>
  <si>
    <t>l</t>
  </si>
  <si>
    <t>m³</t>
  </si>
  <si>
    <t>Flüssiggas</t>
  </si>
  <si>
    <t>Diesel</t>
  </si>
  <si>
    <t>Benzin</t>
  </si>
  <si>
    <t>Holzpellets</t>
  </si>
  <si>
    <t>Holz</t>
  </si>
  <si>
    <t>Biodiesel</t>
  </si>
  <si>
    <t>Bioethanol</t>
  </si>
  <si>
    <t>Fernwärme</t>
  </si>
  <si>
    <t>Quelle</t>
  </si>
  <si>
    <t>Emissionsfaktor</t>
  </si>
  <si>
    <t>THG-Emissionen direkt</t>
  </si>
  <si>
    <t>Emissionsfaktor (indirekt)</t>
  </si>
  <si>
    <t>THG-Emissionen indirekt</t>
  </si>
  <si>
    <t>THG-Emissionen gesamt</t>
  </si>
  <si>
    <t xml:space="preserve">(direkt) </t>
  </si>
  <si>
    <t>(in CO2-Äquivalent)</t>
  </si>
  <si>
    <t>gesamt</t>
  </si>
  <si>
    <t>(inkl. Vorkette)</t>
  </si>
  <si>
    <t xml:space="preserve"> Stromaufbringung Österreich </t>
  </si>
  <si>
    <t>kg/kWh</t>
  </si>
  <si>
    <t xml:space="preserve"> Kraftwerkspark Österreich </t>
  </si>
  <si>
    <t xml:space="preserve"> Umweltzeichen "Grüner Strom" </t>
  </si>
  <si>
    <t>kg/l</t>
  </si>
  <si>
    <t>m3</t>
  </si>
  <si>
    <t>kg/m3</t>
  </si>
  <si>
    <t>kg/kg</t>
  </si>
  <si>
    <t>https://gas.info/energie-gas/erdgas/vorteile-erdgas/erdgas-emissionen</t>
  </si>
  <si>
    <t>konv.</t>
  </si>
  <si>
    <t>alle</t>
  </si>
  <si>
    <t>g CO2e/kWh</t>
  </si>
  <si>
    <t>Flüssiggas [kWh]</t>
  </si>
  <si>
    <t>kg CO2e/m³</t>
  </si>
  <si>
    <t>L-Gas</t>
  </si>
  <si>
    <t>H-Gas</t>
  </si>
  <si>
    <t>kWh\m³</t>
  </si>
  <si>
    <t>7.722 gCO2e/GJ (Hi) bzw. 28 gCO2e/kWh (Hi) im Jahr 2018</t>
  </si>
  <si>
    <t>Erdgas in Zentral-EU</t>
  </si>
  <si>
    <t>kg CO2e/ kWh</t>
  </si>
  <si>
    <t>lignite</t>
  </si>
  <si>
    <t>hard coal</t>
  </si>
  <si>
    <t>kg CO2e/kg</t>
  </si>
  <si>
    <t>kg CO2e/MJ</t>
  </si>
  <si>
    <t>kg CO2e/kWh</t>
  </si>
  <si>
    <t>natural gas</t>
  </si>
  <si>
    <t>DE</t>
  </si>
  <si>
    <t>Europe</t>
  </si>
  <si>
    <t>kg CO2e/kg Asphalt (Mastic)</t>
  </si>
  <si>
    <t>65 kWh/t</t>
  </si>
  <si>
    <t>MJ/t</t>
  </si>
  <si>
    <t>MJ/kg</t>
  </si>
  <si>
    <t>Strom</t>
  </si>
  <si>
    <t>Heizöl extraleicht</t>
  </si>
  <si>
    <t>kg CO2e / kWh</t>
  </si>
  <si>
    <t>direkt</t>
  </si>
  <si>
    <t>indirekt</t>
  </si>
  <si>
    <t>kg/Nm³</t>
  </si>
  <si>
    <t>Heizweret</t>
  </si>
  <si>
    <t>Dichte</t>
  </si>
  <si>
    <t>C</t>
  </si>
  <si>
    <t>O</t>
  </si>
  <si>
    <t>H</t>
  </si>
  <si>
    <t>O2</t>
  </si>
  <si>
    <t>CH4 + 2 O2</t>
  </si>
  <si>
    <t>g / mol</t>
  </si>
  <si>
    <t>kg /Nm³</t>
  </si>
  <si>
    <t>CO2 + 2 H20</t>
  </si>
  <si>
    <t>kWh / Nm³</t>
  </si>
  <si>
    <t>kg CO2 / kWh</t>
  </si>
  <si>
    <t>2 H2O</t>
  </si>
  <si>
    <t>http://www.farago.info/job/Brennstoffvorraete/Brennstoffe.htm</t>
  </si>
  <si>
    <t xml:space="preserve">Quelle: IWU Institut Wohnen und Umwelt, Marc Großklos </t>
  </si>
  <si>
    <t>Russisches Erdgas &gt;95% CH4</t>
  </si>
  <si>
    <t>86% C</t>
  </si>
  <si>
    <t>13% H</t>
  </si>
  <si>
    <t>1 Einheit Heizöl</t>
  </si>
  <si>
    <t>kWh / kg</t>
  </si>
  <si>
    <t>nicht relevant</t>
  </si>
  <si>
    <t>C + O2 =</t>
  </si>
  <si>
    <t>2 H2 + O2 =</t>
  </si>
  <si>
    <t>Faktor</t>
  </si>
  <si>
    <t>1 kg (86% c)</t>
  </si>
  <si>
    <t>kg CO2 /m³ (&gt; 95%)</t>
  </si>
  <si>
    <t>reine Vebrennung, keine Vorkette</t>
  </si>
  <si>
    <t>Braunkohle</t>
  </si>
  <si>
    <t>Anteil RA</t>
  </si>
  <si>
    <t>RA 0%</t>
  </si>
  <si>
    <t>RA 5%</t>
  </si>
  <si>
    <t>RA 10%</t>
  </si>
  <si>
    <t>RA 15%</t>
  </si>
  <si>
    <t>RA 20%</t>
  </si>
  <si>
    <t>RA 25%</t>
  </si>
  <si>
    <t>RA 30%</t>
  </si>
  <si>
    <t>RA 35%</t>
  </si>
  <si>
    <t>RA 40%</t>
  </si>
  <si>
    <t>RA 45%</t>
  </si>
  <si>
    <t>RA 50%</t>
  </si>
  <si>
    <t>RA</t>
  </si>
  <si>
    <t>RA 55%</t>
  </si>
  <si>
    <t>RA 60%</t>
  </si>
  <si>
    <t>RA 65%</t>
  </si>
  <si>
    <t>RA 70%</t>
  </si>
  <si>
    <t>RA 75%</t>
  </si>
  <si>
    <t>RA 80%</t>
  </si>
  <si>
    <t>RA 85%</t>
  </si>
  <si>
    <t>RA 90%</t>
  </si>
  <si>
    <t>RA 95%</t>
  </si>
  <si>
    <t>RA 100%</t>
  </si>
  <si>
    <t>&lt;0 = RAP zu viel Füller</t>
  </si>
  <si>
    <t>Modul A1</t>
  </si>
  <si>
    <t>Modul A2</t>
  </si>
  <si>
    <t>Modul A3</t>
  </si>
  <si>
    <t>Modul A4</t>
  </si>
  <si>
    <t>Module A1-A4</t>
  </si>
  <si>
    <t>Ausgangstemperatur</t>
  </si>
  <si>
    <t>Zieltemperatur</t>
  </si>
  <si>
    <t>Kalkhydrat [°C]</t>
  </si>
  <si>
    <t>Feuchteanteil</t>
  </si>
  <si>
    <t>Überprüfung [m%]</t>
  </si>
  <si>
    <t>Bitumen [m%]</t>
  </si>
  <si>
    <t>Gestein [m%]</t>
  </si>
  <si>
    <t>Eigenfüller [m%]</t>
  </si>
  <si>
    <t>Fremdfüller [m%]</t>
  </si>
  <si>
    <t>Kalkhydrat [m%]</t>
  </si>
  <si>
    <t>RA [m%]</t>
  </si>
  <si>
    <t>Bitumen [°C]</t>
  </si>
  <si>
    <t>Gestein [°C]</t>
  </si>
  <si>
    <t>Eigenfüller [°C]</t>
  </si>
  <si>
    <t>Fremdfüller [°C]</t>
  </si>
  <si>
    <t>RA [°C]</t>
  </si>
  <si>
    <t>Mischgut [°C]</t>
  </si>
  <si>
    <t>Stand 2021</t>
  </si>
  <si>
    <t>Füller [m%]</t>
  </si>
  <si>
    <t>Paper 2023</t>
  </si>
  <si>
    <t>KH</t>
  </si>
  <si>
    <t>EIGENFÜLLER</t>
  </si>
  <si>
    <t>FREMD-FÜLLER</t>
  </si>
  <si>
    <t>EFÜLL</t>
  </si>
  <si>
    <t>EFÜLL_F</t>
  </si>
  <si>
    <t>EFÜLL_W</t>
  </si>
  <si>
    <t>FFÜLL</t>
  </si>
  <si>
    <t>GESAMT-FÜLLER</t>
  </si>
  <si>
    <t>GFÜLL</t>
  </si>
  <si>
    <t>m%</t>
  </si>
  <si>
    <t>Kalkhydrat</t>
  </si>
  <si>
    <t>Kalkhydrat [kg]</t>
  </si>
  <si>
    <t>Eigenfüller [kg]</t>
  </si>
  <si>
    <t>GFÜLL_F</t>
  </si>
  <si>
    <t>kWh/tkm</t>
  </si>
  <si>
    <t>https://presse.oebb.at/dam/jcr:2f7f0073-5e40-4c27-9016-6f085de5e7e1/OEBB_GB2022.pdf</t>
  </si>
  <si>
    <t>ÖBB GESCHÄFTSBERICHT 2022</t>
  </si>
  <si>
    <t>https://www.dslv.org/fileadmin/Redaktion/PDFs/07_Publikationen/Leitfaeden/DSLV-Leitfaden_Berechnung_von_THG-Emissionen_Stand_03-2013.pdf</t>
  </si>
  <si>
    <t>Berechnung von Treibhausgasemissionen</t>
  </si>
  <si>
    <t>in Spedition und Logistik</t>
  </si>
  <si>
    <t>gemäß DIN EN 16258</t>
  </si>
  <si>
    <t>Transport ZUG Güter (74% elektrifiziert)</t>
  </si>
  <si>
    <r>
      <t xml:space="preserve">Gesamtmassenanteil im </t>
    </r>
    <r>
      <rPr>
        <b/>
        <sz val="10"/>
        <color rgb="FFFFC000"/>
        <rFont val="Arial"/>
        <family val="2"/>
      </rPr>
      <t>resultierenden</t>
    </r>
    <r>
      <rPr>
        <b/>
        <sz val="10"/>
        <color theme="0"/>
        <rFont val="Arial"/>
        <family val="2"/>
      </rPr>
      <t xml:space="preserve"> Mischgut</t>
    </r>
  </si>
  <si>
    <t>74% der Strecke elektrifiziert</t>
  </si>
  <si>
    <t>https://www.umweltbundesamt.de/sites/default/files/medien/366/bilder/dateien/uba_emissionstabelle_gueterverkehr_2021.pdf</t>
  </si>
  <si>
    <t>Bitumen
LKW Diesel [km]</t>
  </si>
  <si>
    <t>Gestein
LKW Diesel [km]</t>
  </si>
  <si>
    <t>Eigenfüller
LKW Diesel [km]</t>
  </si>
  <si>
    <t>Fremdfüller
LKW Diesel [km]</t>
  </si>
  <si>
    <t>Kalkhydrat
LKW Diesel [km]</t>
  </si>
  <si>
    <t>RA
LKW Diesel [km]</t>
  </si>
  <si>
    <t>Zur Baustelle
LKW Diesel [km]</t>
  </si>
  <si>
    <t>Fremdfüller
LKW elektr. [km]</t>
  </si>
  <si>
    <t>Bitumen
LKW elektr. [km]</t>
  </si>
  <si>
    <t>Gestein
LKW elektr. [km]</t>
  </si>
  <si>
    <t>Eigenfüller
LKW elektr. [km]</t>
  </si>
  <si>
    <t>Kalkhydrat
LKW elektr. [km]</t>
  </si>
  <si>
    <t>RA
LKW elektr. [km]</t>
  </si>
  <si>
    <t>Zur Baustelle
LKW elektr. [km]</t>
  </si>
  <si>
    <t>Gestein
Bahn Diesel [km]</t>
  </si>
  <si>
    <t>Eigenfüller
Bahn Diesel [km]</t>
  </si>
  <si>
    <t>Fremdfüller
Bahn Diesel [km]</t>
  </si>
  <si>
    <t>Kalkhydrat
Bahn Diesel [km]</t>
  </si>
  <si>
    <t>RA
Bahn Diesel [km]</t>
  </si>
  <si>
    <t>Zur Baustelle
Bahn Diesel [km]</t>
  </si>
  <si>
    <t>Bitumen
Bahn elektr. [km]</t>
  </si>
  <si>
    <t>Gestein
Bahn elektr. [km]</t>
  </si>
  <si>
    <t>Eigenfüller
Bahn elektr. [km]</t>
  </si>
  <si>
    <t>Fremdfüller
Bahn elektr. [km]</t>
  </si>
  <si>
    <t>Kalkhydrat
Bahn elektr. [km]</t>
  </si>
  <si>
    <t>RA
Bahn elektr. [km]</t>
  </si>
  <si>
    <t>Zur Baustelle
Bahn elektr. [km]</t>
  </si>
  <si>
    <t>Bitumen
Bahn Diesel [km]</t>
  </si>
  <si>
    <t>LKW Diesel</t>
  </si>
  <si>
    <t>LKW Elektro</t>
  </si>
  <si>
    <t>Bahn Diesel</t>
  </si>
  <si>
    <t>Bahn Elektro</t>
  </si>
  <si>
    <t>Transport LKW Diesel</t>
  </si>
  <si>
    <t>Transport Bahn Diesel</t>
  </si>
  <si>
    <t>Transport LKW Elektro</t>
  </si>
  <si>
    <t>Transport Bahn Elektro</t>
  </si>
  <si>
    <t>Elektro LKW</t>
  </si>
  <si>
    <t>Wikipedia und sonstige: 130 kWh/100km</t>
  </si>
  <si>
    <t>ADAC: 15% Ladeverlust</t>
  </si>
  <si>
    <t>führt zu 150 kWh/100km</t>
  </si>
  <si>
    <t>Elektroautoverbrauch laut ADAD ca. 19 kWh/100 km + 15 % Ladeverlust ADAC</t>
  </si>
  <si>
    <t>ElektroLKWverbauch laut Wikipedie (LKW Firma E-Force) 130 kWh/100km + 15 % Ladeverlust ADAC</t>
  </si>
  <si>
    <t>https://de.wikipedia.org/wiki/Elektrolastkraftwagen</t>
  </si>
  <si>
    <t>https://www.adac.de/rund-ums-fahrzeug/elektromobilitaet/tests/stromverbrauch-elektroautos-adac-test/</t>
  </si>
  <si>
    <t>SCHWARZMÜLLER</t>
  </si>
  <si>
    <t>3-ACHS-ALUMINIUM-SEGMENTMULDEN-KIPPSATTELANHÄNGER</t>
  </si>
  <si>
    <t>MIT THERMO-ISOLIERUNG</t>
  </si>
  <si>
    <t>Nutzlast ca. 28 - 29 t</t>
  </si>
  <si>
    <t>kWh/100km</t>
  </si>
  <si>
    <t>kWh/km</t>
  </si>
  <si>
    <t>t Nutzlast</t>
  </si>
  <si>
    <t>kg CO2e/kWh Strom</t>
  </si>
  <si>
    <t>kgCO2e/tkm (100% Beladung)</t>
  </si>
  <si>
    <t>kgCO2e/tkm (50% Beladung)</t>
  </si>
  <si>
    <r>
      <t xml:space="preserve">Materialtransport </t>
    </r>
    <r>
      <rPr>
        <b/>
        <sz val="10"/>
        <color rgb="FFFFC000"/>
        <rFont val="Arial"/>
        <family val="2"/>
      </rPr>
      <t>LKW</t>
    </r>
  </si>
  <si>
    <r>
      <t xml:space="preserve">Materialtransport </t>
    </r>
    <r>
      <rPr>
        <b/>
        <sz val="10"/>
        <color rgb="FFFFC000"/>
        <rFont val="Arial"/>
        <family val="2"/>
      </rPr>
      <t>Bahn</t>
    </r>
  </si>
  <si>
    <t>GWP 100a GESAMT kg CO2e/t</t>
  </si>
  <si>
    <t>GWP 100a GESAMT kg CO2e / m³</t>
  </si>
  <si>
    <r>
      <t>kg CO</t>
    </r>
    <r>
      <rPr>
        <vertAlign val="subscript"/>
        <sz val="9"/>
        <color theme="0"/>
        <rFont val="Arial"/>
        <family val="2"/>
      </rPr>
      <t>2</t>
    </r>
    <r>
      <rPr>
        <sz val="9"/>
        <color theme="0"/>
        <rFont val="Arial"/>
        <family val="2"/>
      </rPr>
      <t>e/m</t>
    </r>
    <r>
      <rPr>
        <vertAlign val="superscript"/>
        <sz val="9"/>
        <color theme="0"/>
        <rFont val="Arial"/>
        <family val="2"/>
      </rPr>
      <t>3</t>
    </r>
  </si>
  <si>
    <t>kg CO2e/km</t>
  </si>
  <si>
    <t>1 Schotterwaggon ca. Nutzlast 45 t</t>
  </si>
  <si>
    <t>kg CO2e/L Diesel</t>
  </si>
  <si>
    <t>L Diesel/km</t>
  </si>
  <si>
    <t>t/LKW</t>
  </si>
  <si>
    <t>kg CO2e/tkm (50% Beladung)</t>
  </si>
  <si>
    <t>kg CO2e/tkm (100% Beladung)</t>
  </si>
  <si>
    <t>kg CO2e/tkm Bahn elektr. (100% Beladung)</t>
  </si>
  <si>
    <t>kg CO2e/tkm Bahn Diesel (100% Beladung)</t>
  </si>
  <si>
    <t>kg CO2e/tkm Bahn elektr. (50% Beladung)</t>
  </si>
  <si>
    <t>kg CO2e/tkm Bahn Diesel (50% Beladung)</t>
  </si>
  <si>
    <t>L Diesel/km beladen</t>
  </si>
  <si>
    <t>L Diesel/km unbeladen</t>
  </si>
  <si>
    <t>kWh/tkm (beladen)</t>
  </si>
  <si>
    <t>kWh/tkm (unbeladen - geschätzt)</t>
  </si>
  <si>
    <t>L Diesel/tkm (beladen)</t>
  </si>
  <si>
    <t>L Diesel/tkm (unbeladen - geschätzt)</t>
  </si>
  <si>
    <t>Anteil Eigengewicht am Gesamtgewicht</t>
  </si>
  <si>
    <t>für Abschätzung des Verbrauchs verwendet</t>
  </si>
  <si>
    <t>kWh/tkm (50% beladen)</t>
  </si>
  <si>
    <t>L Diesel/tkm (50% beladen)</t>
  </si>
  <si>
    <t>Mittlerer Zug - geschätz 20 Waggons 1.000t</t>
  </si>
  <si>
    <t>t Eigengewicht</t>
  </si>
  <si>
    <t>t Gesamtgewicht</t>
  </si>
  <si>
    <t>erhöht Faktor 50% (laut PS 70%)</t>
  </si>
  <si>
    <t>Transport LKW D</t>
  </si>
  <si>
    <t>Transport LKW E</t>
  </si>
  <si>
    <t>Transport Bahn D</t>
  </si>
  <si>
    <t>Transport Bahn E</t>
  </si>
  <si>
    <t>Ausbau</t>
  </si>
  <si>
    <t>Aufbereitung</t>
  </si>
  <si>
    <t>kg CO2e/t RA</t>
  </si>
  <si>
    <t>aktuell</t>
  </si>
  <si>
    <r>
      <t xml:space="preserve">Gesamtmassenanteil im </t>
    </r>
    <r>
      <rPr>
        <b/>
        <sz val="10"/>
        <color rgb="FFFFC000"/>
        <rFont val="Arial"/>
        <family val="2"/>
      </rPr>
      <t>RA</t>
    </r>
    <r>
      <rPr>
        <b/>
        <sz val="10"/>
        <color theme="0"/>
        <rFont val="Arial"/>
        <family val="2"/>
      </rPr>
      <t>*</t>
    </r>
  </si>
  <si>
    <r>
      <t>kg CO</t>
    </r>
    <r>
      <rPr>
        <vertAlign val="subscript"/>
        <sz val="9"/>
        <color theme="0"/>
        <rFont val="Arial"/>
        <family val="2"/>
      </rPr>
      <t>2</t>
    </r>
    <r>
      <rPr>
        <sz val="9"/>
        <color theme="0"/>
        <rFont val="Arial"/>
        <family val="2"/>
      </rPr>
      <t>e/t</t>
    </r>
  </si>
  <si>
    <t>Diese Berechnungshilfe dient zur Abschätzung des Treibhausgaspotenzials der Asphaltherstellung mit Berücksichtigung des Recyclingmaterialanteils. Obwohl die Asphaltherstellung von vielen Faktoren abhängig ist, wurden nur die auf das Treibhauspotenzial einflussreichsten berücksichtigt. Ferner wurden die zur Berechnung beötigten Daten von europäischen Quellen bevorzugt, um regionale Gegebenheiten bestmöglich abbilden zu können. Die dieser Berechnung zugrundeliegenden Daten dürfen nur mit Erlaubnis der Technischen Universität Wien - Instituts für Verkehrswissenschaften - Forschungsbereich Straßenwesen verändert werden. Jegliche Einflussnahme auf die Berechnung ist daher ausnahmslos der TU Wien vorbehalten.</t>
  </si>
  <si>
    <t>Mg / m³Raumdichte MW (AC trag bis AC bin)</t>
  </si>
  <si>
    <r>
      <t>Raumdichte* [Mg/m</t>
    </r>
    <r>
      <rPr>
        <vertAlign val="superscript"/>
        <sz val="9"/>
        <color theme="0"/>
        <rFont val="Arial"/>
        <family val="2"/>
      </rPr>
      <t>3</t>
    </r>
    <r>
      <rPr>
        <sz val="9"/>
        <color theme="0"/>
        <rFont val="Arial"/>
        <family val="2"/>
      </rPr>
      <t>]</t>
    </r>
  </si>
  <si>
    <t>* gemäß Typprüfung</t>
  </si>
  <si>
    <t>ANTEIL KH</t>
  </si>
  <si>
    <t>AN FÜLLER</t>
  </si>
  <si>
    <t>Gestein</t>
  </si>
  <si>
    <t>Berechnung der Treibhausgasemissionen für Asphaltmischgut</t>
  </si>
  <si>
    <t>* mit Komma separieren</t>
  </si>
  <si>
    <t>Kalkhydrat* [m%]</t>
  </si>
  <si>
    <t>PmB**</t>
  </si>
  <si>
    <t>** im Frischbitumen</t>
  </si>
  <si>
    <t>Treibhausgasemissionen je Tonne Asphalt</t>
  </si>
  <si>
    <t>alle GK überdacht: 1,5m%</t>
  </si>
  <si>
    <t>nur GK &lt;2mm überdacht: 2,5m%</t>
  </si>
  <si>
    <t>keine GK überdacht: 5,0m%</t>
  </si>
  <si>
    <t>RA überdacht: 1,5m%</t>
  </si>
  <si>
    <t>RA nicht überdacht: 5,0m%</t>
  </si>
  <si>
    <t>* gemäß Zieltemperatur</t>
  </si>
  <si>
    <t>** inkl. Ausbau und Aufbereitung</t>
  </si>
  <si>
    <t>Zugabe RA** [m%]</t>
  </si>
  <si>
    <t>Zugabeart RA*</t>
  </si>
  <si>
    <t>kWh/t Bitumen</t>
  </si>
  <si>
    <t>kWh/t Asphalt</t>
  </si>
  <si>
    <t>RA** [°C]</t>
  </si>
  <si>
    <t>** bei Kaltzugabe: 15°C</t>
  </si>
  <si>
    <t>BITUMEN: WARMHALTUNG IM DURCHSCHNITT 40 KWH/T BITUMEN</t>
  </si>
  <si>
    <t>BITUMEN: KEINE ERHITZUNG, NUR DURCHSCHNITT VON WARMHALTUNG</t>
  </si>
  <si>
    <t>Lieferant A, Lieferant B, …</t>
  </si>
  <si>
    <t>z.B. AC 32 trag 70/100, T2, G5, KA18, RA20</t>
  </si>
  <si>
    <t>&lt;0 = RAP zu viel Bitumen</t>
  </si>
  <si>
    <t>&lt;0 = RAP zu viel Gestein</t>
  </si>
  <si>
    <t>Überprüfung RA</t>
  </si>
  <si>
    <r>
      <t>Gesteinslieferanten</t>
    </r>
    <r>
      <rPr>
        <sz val="10"/>
        <color theme="0"/>
        <rFont val="Arial"/>
        <family val="2"/>
      </rPr>
      <t xml:space="preserve"> (Neumineral)*</t>
    </r>
  </si>
  <si>
    <r>
      <t>Bitumenlieferanten</t>
    </r>
    <r>
      <rPr>
        <sz val="10"/>
        <color theme="0"/>
        <rFont val="Arial"/>
        <family val="2"/>
      </rPr>
      <t xml:space="preserve"> (Frischbitumen)*</t>
    </r>
  </si>
  <si>
    <r>
      <t xml:space="preserve">Mischgutbezeichnung </t>
    </r>
    <r>
      <rPr>
        <sz val="10"/>
        <color theme="0"/>
        <rFont val="Arial"/>
        <family val="2"/>
      </rPr>
      <t>(gemäß Typprüfung)</t>
    </r>
  </si>
  <si>
    <t>Überprüfung RA-Anteile</t>
  </si>
  <si>
    <t>Michael R. Gruber
michael.gruber@tuwien.ac.at</t>
  </si>
  <si>
    <t>TU Wien - IVWS - E230-3
https://www.tuwien.at/cee/transport/road</t>
  </si>
  <si>
    <t>Mischanlage</t>
  </si>
  <si>
    <t>Asphaltmischanlage</t>
  </si>
  <si>
    <t>Version: 1.7.1</t>
  </si>
  <si>
    <t>Änderungen und Irrtümer vorbehalten
Stand Februar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</si>
</sst>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
    <numFmt numFmtId="168" formatCode="&quot;€&quot;\ #,##0.00"/>
    <numFmt numFmtId="169" formatCode="0.00000"/>
  </numFmts>
  <fonts count="3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rgb="FFFF0000"/>
      <name val="Arial"/>
      <family val="2"/>
    </font>
    <font>
      <b/>
      <sz val="10"/>
      <color theme="1"/>
      <name val="Arial"/>
      <family val="2"/>
    </font>
    <font>
      <b/>
      <sz val="10"/>
      <color theme="0"/>
      <name val="Arial"/>
      <family val="2"/>
    </font>
    <font>
      <sz val="10"/>
      <color theme="0"/>
      <name val="Arial"/>
      <family val="2"/>
    </font>
    <font>
      <sz val="11"/>
      <color theme="0"/>
      <name val="Calibri"/>
      <family val="2"/>
      <scheme val="minor"/>
    </font>
    <font>
      <sz val="9"/>
      <color theme="0"/>
      <name val="Arial"/>
      <family val="2"/>
    </font>
    <font>
      <sz val="8"/>
      <name val="Calibri"/>
      <family val="2"/>
      <scheme val="minor"/>
    </font>
    <font>
      <b/>
      <sz val="14"/>
      <color theme="0"/>
      <name val="Arial"/>
      <family val="2"/>
    </font>
    <font>
      <sz val="10"/>
      <name val="Arial"/>
      <family val="2"/>
    </font>
    <font>
      <sz val="10"/>
      <color theme="5"/>
      <name val="Arial"/>
      <family val="2"/>
    </font>
    <font>
      <b/>
      <sz val="8"/>
      <color theme="0"/>
      <name val="Arial"/>
      <family val="2"/>
    </font>
    <font>
      <sz val="8"/>
      <color theme="0"/>
      <name val="Arial"/>
      <family val="2"/>
    </font>
    <font>
      <sz val="10"/>
      <color theme="1" tint="0.34998626667073579"/>
      <name val="Arial"/>
      <family val="2"/>
    </font>
    <font>
      <u/>
      <sz val="11"/>
      <color theme="10"/>
      <name val="Calibri"/>
      <family val="2"/>
      <scheme val="minor"/>
    </font>
    <font>
      <vertAlign val="subscript"/>
      <sz val="9"/>
      <color theme="0"/>
      <name val="Arial"/>
      <family val="2"/>
    </font>
    <font>
      <sz val="10"/>
      <color rgb="FF953735"/>
      <name val="Arial"/>
      <family val="2"/>
    </font>
    <font>
      <b/>
      <sz val="10"/>
      <color rgb="FFFFC000"/>
      <name val="Arial"/>
      <family val="2"/>
    </font>
    <font>
      <vertAlign val="superscript"/>
      <sz val="9"/>
      <color theme="0"/>
      <name val="Arial"/>
      <family val="2"/>
    </font>
    <font>
      <sz val="10"/>
      <color rgb="FFFFC000"/>
      <name val="Arial"/>
      <family val="2"/>
    </font>
    <font>
      <sz val="7"/>
      <color theme="0"/>
      <name val="Arial"/>
      <family val="2"/>
    </font>
  </fonts>
  <fills count="18">
    <fill>
      <patternFill patternType="none"/>
    </fill>
    <fill>
      <patternFill patternType="gray125"/>
    </fill>
    <fill>
      <patternFill patternType="solid">
        <fgColor theme="6"/>
        <bgColor indexed="64"/>
      </patternFill>
    </fill>
    <fill>
      <patternFill patternType="solid">
        <fgColor theme="8"/>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C000"/>
        <bgColor indexed="64"/>
      </patternFill>
    </fill>
    <fill>
      <patternFill patternType="solid">
        <fgColor rgb="FF953735"/>
        <bgColor indexed="64"/>
      </patternFill>
    </fill>
    <fill>
      <patternFill patternType="solid">
        <fgColor theme="5"/>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3"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C000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3" fillId="0" borderId="0" applyFont="0" applyFill="0" applyBorder="0" applyAlignment="0" applyProtection="0"/>
    <xf numFmtId="0" fontId="28" fillId="0" borderId="0" applyNumberFormat="0" applyFill="0" applyBorder="0" applyAlignment="0" applyProtection="0"/>
  </cellStyleXfs>
  <cellXfs count="171">
    <xf numFmtId="0" fontId="0" fillId="0" borderId="0" xfId="0"/>
    <xf numFmtId="0" fontId="14" fillId="0" borderId="0" xfId="0" applyFont="1"/>
    <xf numFmtId="0" fontId="15" fillId="0" borderId="0" xfId="0" applyFont="1" applyAlignment="1">
      <alignment horizontal="right"/>
    </xf>
    <xf numFmtId="0" fontId="16" fillId="0" borderId="0" xfId="0" applyFont="1" applyAlignment="1">
      <alignment horizontal="right"/>
    </xf>
    <xf numFmtId="0" fontId="18" fillId="6" borderId="0" xfId="0" applyFont="1" applyFill="1"/>
    <xf numFmtId="0" fontId="19" fillId="6" borderId="0" xfId="0" applyFont="1" applyFill="1"/>
    <xf numFmtId="165" fontId="18" fillId="6" borderId="0" xfId="0" applyNumberFormat="1" applyFont="1" applyFill="1"/>
    <xf numFmtId="0" fontId="18" fillId="6" borderId="0" xfId="0" applyFont="1" applyFill="1" applyAlignment="1">
      <alignment horizontal="right"/>
    </xf>
    <xf numFmtId="0" fontId="15" fillId="0" borderId="0" xfId="0" applyFont="1"/>
    <xf numFmtId="0" fontId="10" fillId="0" borderId="0" xfId="0" applyFont="1" applyAlignment="1">
      <alignment wrapText="1"/>
    </xf>
    <xf numFmtId="0" fontId="10" fillId="0" borderId="0" xfId="0" applyFont="1"/>
    <xf numFmtId="9" fontId="10" fillId="0" borderId="0" xfId="1" applyFont="1"/>
    <xf numFmtId="0" fontId="10" fillId="0" borderId="0" xfId="0" applyFont="1" applyAlignment="1">
      <alignment horizontal="right"/>
    </xf>
    <xf numFmtId="0" fontId="10" fillId="0" borderId="0" xfId="0" applyFont="1" applyAlignment="1">
      <alignment horizontal="right" wrapText="1"/>
    </xf>
    <xf numFmtId="0" fontId="10" fillId="9" borderId="0" xfId="0" applyFont="1" applyFill="1" applyAlignment="1">
      <alignment horizontal="center" wrapText="1"/>
    </xf>
    <xf numFmtId="0" fontId="10" fillId="0" borderId="0" xfId="0" applyFont="1" applyAlignment="1">
      <alignment horizontal="center" wrapText="1"/>
    </xf>
    <xf numFmtId="164" fontId="10" fillId="10" borderId="0" xfId="1" applyNumberFormat="1" applyFont="1" applyFill="1"/>
    <xf numFmtId="164" fontId="10" fillId="0" borderId="0" xfId="0" applyNumberFormat="1" applyFont="1"/>
    <xf numFmtId="0" fontId="10" fillId="4" borderId="0" xfId="0" applyFont="1" applyFill="1" applyAlignment="1">
      <alignment horizontal="right"/>
    </xf>
    <xf numFmtId="0" fontId="10" fillId="4" borderId="0" xfId="0" applyFont="1" applyFill="1"/>
    <xf numFmtId="2" fontId="10" fillId="0" borderId="0" xfId="0" applyNumberFormat="1" applyFont="1"/>
    <xf numFmtId="0" fontId="10" fillId="0" borderId="0" xfId="0" applyFont="1" applyAlignment="1">
      <alignment horizontal="right" vertical="top" wrapText="1"/>
    </xf>
    <xf numFmtId="0" fontId="10" fillId="3" borderId="0" xfId="0" applyFont="1" applyFill="1"/>
    <xf numFmtId="0" fontId="10" fillId="3" borderId="0" xfId="0" applyFont="1" applyFill="1" applyAlignment="1">
      <alignment horizontal="center"/>
    </xf>
    <xf numFmtId="164" fontId="10" fillId="11" borderId="0" xfId="0" applyNumberFormat="1" applyFont="1" applyFill="1"/>
    <xf numFmtId="2" fontId="10" fillId="11" borderId="0" xfId="0" applyNumberFormat="1" applyFont="1" applyFill="1"/>
    <xf numFmtId="1" fontId="10" fillId="0" borderId="0" xfId="0" applyNumberFormat="1" applyFont="1"/>
    <xf numFmtId="0" fontId="10" fillId="10" borderId="0" xfId="0" applyFont="1" applyFill="1"/>
    <xf numFmtId="0" fontId="10" fillId="9" borderId="0" xfId="0" applyFont="1" applyFill="1"/>
    <xf numFmtId="0" fontId="16" fillId="4" borderId="0" xfId="0" applyFont="1" applyFill="1" applyAlignment="1">
      <alignment horizontal="right"/>
    </xf>
    <xf numFmtId="9" fontId="10" fillId="0" borderId="0" xfId="0" applyNumberFormat="1" applyFont="1"/>
    <xf numFmtId="0" fontId="9" fillId="9" borderId="0" xfId="0" applyFont="1" applyFill="1"/>
    <xf numFmtId="0" fontId="9" fillId="0" borderId="0" xfId="0" applyFont="1"/>
    <xf numFmtId="0" fontId="9" fillId="0" borderId="0" xfId="0" applyFont="1" applyAlignment="1">
      <alignment horizontal="right"/>
    </xf>
    <xf numFmtId="0" fontId="9" fillId="4" borderId="0" xfId="0" applyFont="1" applyFill="1" applyAlignment="1">
      <alignment horizontal="right"/>
    </xf>
    <xf numFmtId="0" fontId="16" fillId="0" borderId="0" xfId="0" applyFont="1"/>
    <xf numFmtId="2" fontId="16" fillId="0" borderId="0" xfId="0" applyNumberFormat="1" applyFont="1"/>
    <xf numFmtId="0" fontId="16" fillId="9" borderId="0" xfId="0" applyFont="1" applyFill="1"/>
    <xf numFmtId="1" fontId="10" fillId="10" borderId="0" xfId="0" applyNumberFormat="1" applyFont="1" applyFill="1"/>
    <xf numFmtId="9" fontId="9" fillId="0" borderId="0" xfId="1" applyFont="1" applyFill="1"/>
    <xf numFmtId="0" fontId="9" fillId="9" borderId="0" xfId="0" applyFont="1" applyFill="1" applyAlignment="1">
      <alignment horizontal="right"/>
    </xf>
    <xf numFmtId="9" fontId="9" fillId="4" borderId="0" xfId="0" applyNumberFormat="1" applyFont="1" applyFill="1" applyAlignment="1">
      <alignment horizontal="right"/>
    </xf>
    <xf numFmtId="0" fontId="24" fillId="0" borderId="0" xfId="0" applyFont="1"/>
    <xf numFmtId="0" fontId="24" fillId="4" borderId="0" xfId="0" applyFont="1" applyFill="1"/>
    <xf numFmtId="0" fontId="23" fillId="0" borderId="0" xfId="0" applyFont="1"/>
    <xf numFmtId="1" fontId="24" fillId="0" borderId="0" xfId="0" applyNumberFormat="1" applyFont="1"/>
    <xf numFmtId="9" fontId="10" fillId="4" borderId="0" xfId="1" applyFont="1" applyFill="1" applyAlignment="1">
      <alignment horizontal="right"/>
    </xf>
    <xf numFmtId="2" fontId="18" fillId="6" borderId="0" xfId="0" applyNumberFormat="1" applyFont="1" applyFill="1"/>
    <xf numFmtId="1" fontId="18" fillId="6" borderId="0" xfId="0" applyNumberFormat="1" applyFont="1" applyFill="1" applyAlignment="1">
      <alignment horizontal="right"/>
    </xf>
    <xf numFmtId="165" fontId="19" fillId="6" borderId="0" xfId="0" applyNumberFormat="1" applyFont="1" applyFill="1"/>
    <xf numFmtId="1" fontId="18" fillId="6" borderId="0" xfId="0" applyNumberFormat="1" applyFont="1" applyFill="1"/>
    <xf numFmtId="168" fontId="18" fillId="6" borderId="0" xfId="0" applyNumberFormat="1" applyFont="1" applyFill="1"/>
    <xf numFmtId="0" fontId="8" fillId="0" borderId="0" xfId="0" applyFont="1"/>
    <xf numFmtId="0" fontId="8" fillId="0" borderId="0" xfId="0" applyFont="1" applyAlignment="1">
      <alignment horizontal="right"/>
    </xf>
    <xf numFmtId="165" fontId="14" fillId="7" borderId="11" xfId="0" applyNumberFormat="1" applyFont="1" applyFill="1" applyBorder="1" applyAlignment="1" applyProtection="1">
      <alignment horizontal="center"/>
      <protection locked="0"/>
    </xf>
    <xf numFmtId="1" fontId="11" fillId="7" borderId="11" xfId="0" applyNumberFormat="1" applyFont="1" applyFill="1" applyBorder="1" applyAlignment="1" applyProtection="1">
      <alignment horizontal="center"/>
      <protection locked="0"/>
    </xf>
    <xf numFmtId="1" fontId="12" fillId="7" borderId="11" xfId="0" applyNumberFormat="1" applyFont="1" applyFill="1" applyBorder="1" applyAlignment="1" applyProtection="1">
      <alignment horizontal="center"/>
      <protection locked="0"/>
    </xf>
    <xf numFmtId="1" fontId="14" fillId="7" borderId="11" xfId="0" applyNumberFormat="1" applyFont="1" applyFill="1" applyBorder="1" applyAlignment="1" applyProtection="1">
      <alignment horizontal="center"/>
      <protection locked="0"/>
    </xf>
    <xf numFmtId="0" fontId="25" fillId="6" borderId="0" xfId="0" applyFont="1" applyFill="1"/>
    <xf numFmtId="0" fontId="26" fillId="6" borderId="0" xfId="0" applyFont="1" applyFill="1"/>
    <xf numFmtId="0" fontId="7" fillId="3" borderId="0" xfId="0" applyFont="1" applyFill="1" applyAlignment="1">
      <alignment horizontal="right"/>
    </xf>
    <xf numFmtId="1" fontId="14" fillId="2" borderId="11" xfId="0" applyNumberFormat="1" applyFont="1" applyFill="1" applyBorder="1" applyAlignment="1">
      <alignment horizontal="center"/>
    </xf>
    <xf numFmtId="0" fontId="6" fillId="0" borderId="0" xfId="0" applyFont="1"/>
    <xf numFmtId="0" fontId="5" fillId="0" borderId="0" xfId="0" applyFont="1"/>
    <xf numFmtId="165" fontId="10" fillId="0" borderId="0" xfId="0" applyNumberFormat="1" applyFont="1"/>
    <xf numFmtId="0" fontId="28" fillId="0" borderId="0" xfId="2"/>
    <xf numFmtId="166" fontId="10" fillId="0" borderId="0" xfId="0" applyNumberFormat="1" applyFont="1"/>
    <xf numFmtId="14" fontId="10" fillId="0" borderId="0" xfId="0" applyNumberFormat="1" applyFont="1"/>
    <xf numFmtId="167" fontId="10" fillId="0" borderId="0" xfId="0" applyNumberFormat="1" applyFont="1"/>
    <xf numFmtId="0" fontId="5" fillId="0" borderId="0" xfId="0" applyFont="1" applyAlignment="1">
      <alignment horizontal="right"/>
    </xf>
    <xf numFmtId="0" fontId="4" fillId="0" borderId="0" xfId="0" applyFont="1"/>
    <xf numFmtId="0" fontId="10" fillId="5" borderId="0" xfId="0" applyFont="1" applyFill="1"/>
    <xf numFmtId="0" fontId="3" fillId="0" borderId="0" xfId="0" applyFont="1"/>
    <xf numFmtId="0" fontId="3" fillId="5" borderId="0" xfId="0" applyFont="1" applyFill="1"/>
    <xf numFmtId="0" fontId="2" fillId="0" borderId="0" xfId="0" applyFont="1"/>
    <xf numFmtId="2" fontId="10" fillId="12" borderId="0" xfId="0" applyNumberFormat="1" applyFont="1" applyFill="1"/>
    <xf numFmtId="0" fontId="18" fillId="6" borderId="0" xfId="0" applyFont="1" applyFill="1" applyAlignment="1">
      <alignment horizontal="center"/>
    </xf>
    <xf numFmtId="0" fontId="18" fillId="6" borderId="11" xfId="0" applyFont="1" applyFill="1" applyBorder="1" applyAlignment="1">
      <alignment horizontal="center" vertical="center" wrapText="1"/>
    </xf>
    <xf numFmtId="164" fontId="18" fillId="6" borderId="7" xfId="1" applyNumberFormat="1" applyFont="1" applyFill="1" applyBorder="1" applyAlignment="1">
      <alignment horizontal="center" vertical="center" wrapText="1"/>
    </xf>
    <xf numFmtId="164" fontId="18" fillId="6" borderId="11" xfId="0"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0" fontId="18" fillId="6" borderId="11" xfId="0" applyFont="1" applyFill="1" applyBorder="1" applyAlignment="1">
      <alignment horizontal="center" vertical="top" wrapText="1"/>
    </xf>
    <xf numFmtId="0" fontId="18" fillId="6" borderId="10" xfId="0" applyFont="1" applyFill="1" applyBorder="1" applyAlignment="1">
      <alignment horizontal="center" vertical="center" wrapText="1"/>
    </xf>
    <xf numFmtId="0" fontId="17" fillId="6" borderId="4" xfId="0" applyFont="1" applyFill="1" applyBorder="1" applyAlignment="1">
      <alignment horizontal="center"/>
    </xf>
    <xf numFmtId="0" fontId="18" fillId="6" borderId="1" xfId="0" applyFont="1" applyFill="1" applyBorder="1" applyAlignment="1">
      <alignment horizontal="center" wrapText="1"/>
    </xf>
    <xf numFmtId="0" fontId="18" fillId="6" borderId="2" xfId="0" applyFont="1" applyFill="1" applyBorder="1" applyAlignment="1">
      <alignment horizontal="center" wrapText="1"/>
    </xf>
    <xf numFmtId="0" fontId="17" fillId="6" borderId="6" xfId="0" applyFont="1" applyFill="1" applyBorder="1" applyAlignment="1">
      <alignment horizontal="center"/>
    </xf>
    <xf numFmtId="0" fontId="18" fillId="6" borderId="5" xfId="0" applyFont="1" applyFill="1" applyBorder="1" applyAlignment="1">
      <alignment horizontal="center" wrapText="1"/>
    </xf>
    <xf numFmtId="0" fontId="18" fillId="6" borderId="0" xfId="0" applyFont="1" applyFill="1" applyAlignment="1">
      <alignment horizontal="center" wrapText="1"/>
    </xf>
    <xf numFmtId="0" fontId="18" fillId="6" borderId="10" xfId="0" applyFont="1" applyFill="1" applyBorder="1" applyAlignment="1">
      <alignment horizontal="center"/>
    </xf>
    <xf numFmtId="0" fontId="20" fillId="6" borderId="7" xfId="0" applyFont="1" applyFill="1" applyBorder="1" applyAlignment="1">
      <alignment horizontal="center"/>
    </xf>
    <xf numFmtId="165" fontId="2" fillId="2" borderId="11" xfId="1" applyNumberFormat="1" applyFont="1" applyFill="1" applyBorder="1" applyAlignment="1">
      <alignment horizontal="center"/>
    </xf>
    <xf numFmtId="164" fontId="10" fillId="8" borderId="0" xfId="1" applyNumberFormat="1" applyFont="1" applyFill="1"/>
    <xf numFmtId="9" fontId="16" fillId="8" borderId="0" xfId="1" applyFont="1" applyFill="1"/>
    <xf numFmtId="9" fontId="9" fillId="8" borderId="0" xfId="1" applyFont="1" applyFill="1"/>
    <xf numFmtId="0" fontId="2" fillId="4" borderId="0" xfId="0" applyFont="1" applyFill="1" applyAlignment="1">
      <alignment horizontal="right"/>
    </xf>
    <xf numFmtId="0" fontId="2" fillId="9" borderId="0" xfId="0" applyFont="1" applyFill="1" applyAlignment="1">
      <alignment horizontal="center" wrapText="1"/>
    </xf>
    <xf numFmtId="1" fontId="27" fillId="11" borderId="11" xfId="0" applyNumberFormat="1" applyFont="1" applyFill="1" applyBorder="1" applyAlignment="1">
      <alignment horizontal="center"/>
    </xf>
    <xf numFmtId="0" fontId="20" fillId="6" borderId="10" xfId="0" applyFont="1" applyFill="1" applyBorder="1" applyAlignment="1">
      <alignment horizontal="center"/>
    </xf>
    <xf numFmtId="0" fontId="18" fillId="6" borderId="4" xfId="0" applyFont="1" applyFill="1" applyBorder="1" applyAlignment="1">
      <alignment horizontal="center" wrapText="1"/>
    </xf>
    <xf numFmtId="0" fontId="18" fillId="6" borderId="6" xfId="0" applyFont="1" applyFill="1" applyBorder="1" applyAlignment="1">
      <alignment horizontal="center" wrapText="1"/>
    </xf>
    <xf numFmtId="164" fontId="10" fillId="11" borderId="0" xfId="1" applyNumberFormat="1" applyFont="1" applyFill="1"/>
    <xf numFmtId="2" fontId="9" fillId="0" borderId="0" xfId="0" applyNumberFormat="1" applyFont="1"/>
    <xf numFmtId="9" fontId="16" fillId="0" borderId="0" xfId="1" applyFont="1" applyBorder="1"/>
    <xf numFmtId="0" fontId="2" fillId="0" borderId="0" xfId="0" applyFont="1" applyAlignment="1">
      <alignment horizontal="right"/>
    </xf>
    <xf numFmtId="9" fontId="10" fillId="0" borderId="0" xfId="1" applyFont="1" applyBorder="1"/>
    <xf numFmtId="1" fontId="16" fillId="0" borderId="0" xfId="0" applyNumberFormat="1" applyFont="1"/>
    <xf numFmtId="1" fontId="9" fillId="0" borderId="0" xfId="0" applyNumberFormat="1" applyFont="1"/>
    <xf numFmtId="0" fontId="1" fillId="4" borderId="0" xfId="0" applyFont="1" applyFill="1" applyAlignment="1">
      <alignment horizontal="right"/>
    </xf>
    <xf numFmtId="0" fontId="1" fillId="0" borderId="0" xfId="0" applyFont="1"/>
    <xf numFmtId="9" fontId="16" fillId="2" borderId="11" xfId="1" applyFont="1" applyFill="1" applyBorder="1" applyAlignment="1">
      <alignment horizontal="center" vertical="center"/>
    </xf>
    <xf numFmtId="2" fontId="15" fillId="12" borderId="0" xfId="0" applyNumberFormat="1" applyFont="1" applyFill="1"/>
    <xf numFmtId="165" fontId="16" fillId="2" borderId="11" xfId="0" applyNumberFormat="1" applyFont="1" applyFill="1" applyBorder="1" applyAlignment="1">
      <alignment horizontal="center" vertical="center"/>
    </xf>
    <xf numFmtId="0" fontId="15" fillId="6" borderId="0" xfId="0" applyFont="1" applyFill="1"/>
    <xf numFmtId="165" fontId="33" fillId="6" borderId="0" xfId="0" applyNumberFormat="1" applyFont="1" applyFill="1" applyAlignment="1">
      <alignment horizontal="center"/>
    </xf>
    <xf numFmtId="2" fontId="33" fillId="6" borderId="0" xfId="0" applyNumberFormat="1" applyFont="1" applyFill="1" applyAlignment="1">
      <alignment vertical="center"/>
    </xf>
    <xf numFmtId="9" fontId="33" fillId="0" borderId="0" xfId="1" applyFont="1"/>
    <xf numFmtId="0" fontId="33" fillId="0" borderId="0" xfId="0" applyFont="1"/>
    <xf numFmtId="166" fontId="33" fillId="0" borderId="0" xfId="0" applyNumberFormat="1" applyFont="1"/>
    <xf numFmtId="166" fontId="10" fillId="5" borderId="0" xfId="0" applyNumberFormat="1" applyFont="1" applyFill="1"/>
    <xf numFmtId="0" fontId="1" fillId="0" borderId="0" xfId="0" applyFont="1" applyAlignment="1">
      <alignment horizontal="right"/>
    </xf>
    <xf numFmtId="0" fontId="3" fillId="0" borderId="0" xfId="0" applyFont="1" applyAlignment="1">
      <alignment horizontal="right"/>
    </xf>
    <xf numFmtId="166" fontId="10" fillId="10" borderId="0" xfId="0" applyNumberFormat="1" applyFont="1" applyFill="1"/>
    <xf numFmtId="166" fontId="15" fillId="0" borderId="0" xfId="0" applyNumberFormat="1" applyFont="1"/>
    <xf numFmtId="169" fontId="30" fillId="0" borderId="0" xfId="0" applyNumberFormat="1" applyFont="1"/>
    <xf numFmtId="169" fontId="15" fillId="0" borderId="0" xfId="0" applyNumberFormat="1" applyFont="1"/>
    <xf numFmtId="169" fontId="10" fillId="0" borderId="0" xfId="0" applyNumberFormat="1" applyFont="1"/>
    <xf numFmtId="169" fontId="10" fillId="10" borderId="0" xfId="0" applyNumberFormat="1" applyFont="1" applyFill="1"/>
    <xf numFmtId="0" fontId="26" fillId="6" borderId="0" xfId="0" applyFont="1" applyFill="1" applyAlignment="1">
      <alignment horizontal="right" vertical="top"/>
    </xf>
    <xf numFmtId="0" fontId="26" fillId="6" borderId="0" xfId="0" applyFont="1" applyFill="1" applyAlignment="1">
      <alignment horizontal="left" vertical="top"/>
    </xf>
    <xf numFmtId="0" fontId="20" fillId="6" borderId="4" xfId="0" applyFont="1" applyFill="1" applyBorder="1" applyAlignment="1">
      <alignment horizontal="center" wrapText="1"/>
    </xf>
    <xf numFmtId="0" fontId="20" fillId="6" borderId="11" xfId="0" applyFont="1" applyFill="1" applyBorder="1" applyAlignment="1">
      <alignment horizontal="center" vertical="center"/>
    </xf>
    <xf numFmtId="0" fontId="26" fillId="6" borderId="0" xfId="0" applyFont="1" applyFill="1" applyAlignment="1">
      <alignment horizontal="right"/>
    </xf>
    <xf numFmtId="167" fontId="10" fillId="10" borderId="0" xfId="0" applyNumberFormat="1" applyFont="1" applyFill="1"/>
    <xf numFmtId="167" fontId="23" fillId="7" borderId="11" xfId="0" applyNumberFormat="1" applyFont="1" applyFill="1" applyBorder="1" applyAlignment="1" applyProtection="1">
      <alignment horizontal="center"/>
      <protection locked="0"/>
    </xf>
    <xf numFmtId="1" fontId="14" fillId="8" borderId="11" xfId="0" applyNumberFormat="1" applyFont="1" applyFill="1" applyBorder="1" applyAlignment="1">
      <alignment horizontal="center" vertical="center"/>
    </xf>
    <xf numFmtId="1" fontId="14" fillId="16" borderId="11" xfId="0" applyNumberFormat="1" applyFont="1" applyFill="1" applyBorder="1" applyAlignment="1">
      <alignment horizontal="center" vertical="center"/>
    </xf>
    <xf numFmtId="1" fontId="14" fillId="15" borderId="11" xfId="0" applyNumberFormat="1" applyFont="1" applyFill="1" applyBorder="1" applyAlignment="1">
      <alignment horizontal="center" vertical="center"/>
    </xf>
    <xf numFmtId="1" fontId="16" fillId="2" borderId="11" xfId="0" applyNumberFormat="1" applyFont="1" applyFill="1" applyBorder="1" applyAlignment="1">
      <alignment horizontal="center" vertical="center"/>
    </xf>
    <xf numFmtId="0" fontId="1" fillId="9" borderId="0" xfId="0" applyFont="1" applyFill="1" applyAlignment="1">
      <alignment horizontal="center" wrapText="1"/>
    </xf>
    <xf numFmtId="1" fontId="27" fillId="11" borderId="11" xfId="0" applyNumberFormat="1" applyFont="1" applyFill="1" applyBorder="1" applyAlignment="1">
      <alignment horizontal="center" vertical="center" wrapText="1"/>
    </xf>
    <xf numFmtId="165" fontId="14" fillId="7" borderId="11" xfId="0" applyNumberFormat="1" applyFont="1" applyFill="1" applyBorder="1" applyAlignment="1" applyProtection="1">
      <alignment horizontal="center" vertical="center" wrapText="1"/>
      <protection locked="0"/>
    </xf>
    <xf numFmtId="165" fontId="10" fillId="11" borderId="0" xfId="1" applyNumberFormat="1" applyFont="1" applyFill="1"/>
    <xf numFmtId="0" fontId="23" fillId="2" borderId="11" xfId="0" applyFont="1" applyFill="1" applyBorder="1" applyAlignment="1">
      <alignment horizontal="center"/>
    </xf>
    <xf numFmtId="0" fontId="34" fillId="6" borderId="0" xfId="0" applyFont="1" applyFill="1" applyAlignment="1">
      <alignment horizontal="left" vertical="top"/>
    </xf>
    <xf numFmtId="0" fontId="34" fillId="6" borderId="2" xfId="0" applyFont="1" applyFill="1" applyBorder="1" applyAlignment="1">
      <alignment horizontal="left" vertical="top"/>
    </xf>
    <xf numFmtId="165" fontId="14" fillId="17" borderId="11" xfId="0" applyNumberFormat="1" applyFont="1" applyFill="1" applyBorder="1" applyAlignment="1">
      <alignment horizontal="center"/>
    </xf>
    <xf numFmtId="0" fontId="1" fillId="9" borderId="0" xfId="0" applyFont="1" applyFill="1"/>
    <xf numFmtId="1" fontId="18" fillId="14" borderId="11" xfId="0" applyNumberFormat="1" applyFont="1" applyFill="1" applyBorder="1" applyAlignment="1">
      <alignment horizontal="center" vertical="center"/>
    </xf>
    <xf numFmtId="0" fontId="26" fillId="6" borderId="0" xfId="0" applyFont="1" applyFill="1" applyAlignment="1">
      <alignment vertical="top" wrapText="1"/>
    </xf>
    <xf numFmtId="0" fontId="26" fillId="6" borderId="0" xfId="0" applyFont="1" applyFill="1" applyAlignment="1">
      <alignment horizontal="center" vertical="top" wrapText="1"/>
    </xf>
    <xf numFmtId="0" fontId="26" fillId="6" borderId="0" xfId="0" applyFont="1" applyFill="1" applyAlignment="1">
      <alignment horizontal="right" vertical="top" wrapText="1"/>
    </xf>
    <xf numFmtId="0" fontId="17" fillId="13" borderId="12" xfId="0" applyFont="1" applyFill="1" applyBorder="1" applyAlignment="1">
      <alignment horizontal="right"/>
    </xf>
    <xf numFmtId="0" fontId="17" fillId="13" borderId="13" xfId="0" applyFont="1" applyFill="1" applyBorder="1" applyAlignment="1">
      <alignment horizontal="right"/>
    </xf>
    <xf numFmtId="0" fontId="17" fillId="13" borderId="14" xfId="0" applyFont="1" applyFill="1" applyBorder="1" applyAlignment="1">
      <alignment horizontal="right"/>
    </xf>
    <xf numFmtId="0" fontId="26" fillId="6" borderId="0" xfId="0" applyFont="1" applyFill="1" applyAlignment="1">
      <alignment horizontal="left" vertical="top" wrapText="1"/>
    </xf>
    <xf numFmtId="0" fontId="17" fillId="13" borderId="12" xfId="0" applyFont="1" applyFill="1" applyBorder="1" applyAlignment="1">
      <alignment horizontal="center"/>
    </xf>
    <xf numFmtId="0" fontId="17" fillId="13" borderId="13" xfId="0" applyFont="1" applyFill="1" applyBorder="1" applyAlignment="1">
      <alignment horizontal="center"/>
    </xf>
    <xf numFmtId="0" fontId="17" fillId="13" borderId="14" xfId="0" applyFont="1" applyFill="1" applyBorder="1" applyAlignment="1">
      <alignment horizontal="center"/>
    </xf>
    <xf numFmtId="0" fontId="22" fillId="13" borderId="1" xfId="0" applyFont="1" applyFill="1" applyBorder="1" applyAlignment="1">
      <alignment horizontal="center" vertical="center"/>
    </xf>
    <xf numFmtId="0" fontId="22" fillId="13" borderId="2" xfId="0" applyFont="1" applyFill="1" applyBorder="1" applyAlignment="1">
      <alignment horizontal="center" vertical="center"/>
    </xf>
    <xf numFmtId="0" fontId="22" fillId="13" borderId="3" xfId="0" applyFont="1" applyFill="1" applyBorder="1" applyAlignment="1">
      <alignment horizontal="center" vertical="center"/>
    </xf>
    <xf numFmtId="0" fontId="22" fillId="13" borderId="7" xfId="0" applyFont="1" applyFill="1" applyBorder="1" applyAlignment="1">
      <alignment horizontal="center" vertical="center"/>
    </xf>
    <xf numFmtId="0" fontId="22" fillId="13" borderId="8" xfId="0" applyFont="1" applyFill="1" applyBorder="1" applyAlignment="1">
      <alignment horizontal="center" vertical="center"/>
    </xf>
    <xf numFmtId="0" fontId="22" fillId="13" borderId="9" xfId="0" applyFont="1" applyFill="1" applyBorder="1" applyAlignment="1">
      <alignment horizontal="center" vertical="center"/>
    </xf>
    <xf numFmtId="165" fontId="34" fillId="6" borderId="2" xfId="0" applyNumberFormat="1" applyFont="1" applyFill="1" applyBorder="1" applyAlignment="1">
      <alignment horizontal="center" vertical="top" wrapText="1"/>
    </xf>
    <xf numFmtId="49" fontId="23" fillId="7" borderId="11" xfId="0" applyNumberFormat="1" applyFont="1" applyFill="1" applyBorder="1" applyAlignment="1" applyProtection="1">
      <alignment horizontal="center"/>
      <protection locked="0"/>
    </xf>
    <xf numFmtId="0" fontId="1" fillId="3" borderId="0" xfId="0" applyFont="1" applyFill="1" applyAlignment="1">
      <alignment horizontal="center"/>
    </xf>
    <xf numFmtId="0" fontId="2" fillId="3" borderId="0" xfId="0" applyFont="1" applyFill="1" applyAlignment="1">
      <alignment horizontal="center"/>
    </xf>
    <xf numFmtId="0" fontId="10" fillId="9" borderId="0" xfId="0" applyFont="1" applyFill="1" applyAlignment="1">
      <alignment horizontal="center"/>
    </xf>
    <xf numFmtId="0" fontId="2" fillId="9" borderId="0" xfId="0" applyFont="1" applyFill="1" applyAlignment="1">
      <alignment horizontal="center" wrapText="1"/>
    </xf>
  </cellXfs>
  <cellStyles count="3">
    <cellStyle name="Link" xfId="2" builtinId="8"/>
    <cellStyle name="Prozent" xfId="1" builtinId="5"/>
    <cellStyle name="Standard" xfId="0" builtinId="0"/>
  </cellStyles>
  <dxfs count="8">
    <dxf>
      <fill>
        <patternFill>
          <bgColor rgb="FFC00000"/>
        </patternFill>
      </fill>
    </dxf>
    <dxf>
      <fill>
        <patternFill>
          <bgColor rgb="FFC00000"/>
        </patternFill>
      </fill>
    </dxf>
    <dxf>
      <fill>
        <patternFill>
          <bgColor rgb="FFC00000"/>
        </patternFill>
      </fill>
    </dxf>
    <dxf>
      <font>
        <strike val="0"/>
      </font>
      <fill>
        <patternFill>
          <bgColor theme="6"/>
        </patternFill>
      </fill>
    </dxf>
    <dxf>
      <fill>
        <patternFill>
          <bgColor rgb="FFC00000"/>
        </patternFill>
      </fill>
    </dxf>
    <dxf>
      <font>
        <strike val="0"/>
        <color theme="1" tint="0.34998626667073579"/>
      </font>
      <fill>
        <patternFill>
          <bgColor theme="0" tint="-0.24994659260841701"/>
        </patternFill>
      </fill>
    </dxf>
    <dxf>
      <font>
        <color theme="1"/>
      </font>
      <fill>
        <patternFill>
          <bgColor rgb="FFFFC000"/>
        </patternFill>
      </fill>
    </dxf>
    <dxf>
      <fill>
        <patternFill>
          <bgColor rgb="FFC00000"/>
        </patternFill>
      </fill>
    </dxf>
  </dxfs>
  <tableStyles count="0" defaultTableStyle="TableStyleMedium2" defaultPivotStyle="PivotStyleLight16"/>
  <colors>
    <mruColors>
      <color rgb="FF953735"/>
      <color rgb="FFFFE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87975858867224"/>
          <c:y val="2.2411616161616167E-2"/>
          <c:w val="0.47220674713710925"/>
          <c:h val="0.96319444444444446"/>
        </c:manualLayout>
      </c:layout>
      <c:pieChart>
        <c:varyColors val="1"/>
        <c:ser>
          <c:idx val="0"/>
          <c:order val="0"/>
          <c:tx>
            <c:strRef>
              <c:f>Eingabemaske!$J$14</c:f>
              <c:strCache>
                <c:ptCount val="1"/>
                <c:pt idx="0">
                  <c:v>RA 20%</c:v>
                </c:pt>
              </c:strCache>
            </c:strRef>
          </c:tx>
          <c:dPt>
            <c:idx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945C-4BCF-A47C-C394109F1EC8}"/>
              </c:ext>
            </c:extLst>
          </c:dPt>
          <c:dPt>
            <c:idx val="1"/>
            <c:bubble3D val="0"/>
            <c:spPr>
              <a:solidFill>
                <a:schemeClr val="tx1">
                  <a:lumMod val="50000"/>
                  <a:lumOff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945C-4BCF-A47C-C394109F1EC8}"/>
              </c:ext>
            </c:extLst>
          </c:dPt>
          <c:dPt>
            <c:idx val="2"/>
            <c:bubble3D val="0"/>
            <c:spPr>
              <a:solidFill>
                <a:schemeClr val="tx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945C-4BCF-A47C-C394109F1EC8}"/>
              </c:ext>
            </c:extLst>
          </c:dPt>
          <c:dPt>
            <c:idx val="3"/>
            <c:bubble3D val="0"/>
            <c:spPr>
              <a:solidFill>
                <a:schemeClr val="accent6">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945C-4BCF-A47C-C394109F1EC8}"/>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Eingabemaske!$K$11:$N$13</c15:sqref>
                  </c15:fullRef>
                  <c15:levelRef>
                    <c15:sqref>Eingabemaske!$K$11:$N$11</c15:sqref>
                  </c15:levelRef>
                </c:ext>
              </c:extLst>
              <c:f>Eingabemaske!$K$11:$N$11</c:f>
              <c:strCache>
                <c:ptCount val="4"/>
                <c:pt idx="0">
                  <c:v>Materialrucksack</c:v>
                </c:pt>
                <c:pt idx="1">
                  <c:v>Transport zur AMA</c:v>
                </c:pt>
                <c:pt idx="2">
                  <c:v>Herstellung Mischgut</c:v>
                </c:pt>
                <c:pt idx="3">
                  <c:v>Transport zur BST</c:v>
                </c:pt>
              </c:strCache>
            </c:strRef>
          </c:cat>
          <c:val>
            <c:numRef>
              <c:f>Eingabemaske!$K$14:$N$14</c:f>
              <c:numCache>
                <c:formatCode>0</c:formatCode>
                <c:ptCount val="4"/>
                <c:pt idx="0">
                  <c:v>25.204946751269034</c:v>
                </c:pt>
                <c:pt idx="1">
                  <c:v>3.9600914923857857</c:v>
                </c:pt>
                <c:pt idx="2">
                  <c:v>15.517756054010407</c:v>
                </c:pt>
                <c:pt idx="3">
                  <c:v>3.7679999999999998</c:v>
                </c:pt>
              </c:numCache>
            </c:numRef>
          </c:val>
          <c:extLst>
            <c:ext xmlns:c16="http://schemas.microsoft.com/office/drawing/2014/chart" uri="{C3380CC4-5D6E-409C-BE32-E72D297353CC}">
              <c16:uniqueId val="{00000008-945C-4BCF-A47C-C394109F1EC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6204611575363645"/>
          <c:y val="0.37212184343434346"/>
          <c:w val="0.19471649644073041"/>
          <c:h val="0.255756313131313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tx1">
        <a:lumMod val="75000"/>
        <a:lumOff val="25000"/>
      </a:schemeClr>
    </a:solidFill>
    <a:ln>
      <a:solidFill>
        <a:schemeClr val="tx1"/>
      </a:solidFill>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Eingabemaske!$K$11</c:f>
              <c:strCache>
                <c:ptCount val="1"/>
                <c:pt idx="0">
                  <c:v>Materialrucksack</c:v>
                </c:pt>
              </c:strCache>
            </c:strRef>
          </c:tx>
          <c:spPr>
            <a:solidFill>
              <a:schemeClr val="accent2">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Eingabemaske!$J$14</c:f>
              <c:strCache>
                <c:ptCount val="1"/>
                <c:pt idx="0">
                  <c:v>RA 20%</c:v>
                </c:pt>
              </c:strCache>
            </c:strRef>
          </c:cat>
          <c:val>
            <c:numRef>
              <c:f>Eingabemaske!$K$14</c:f>
              <c:numCache>
                <c:formatCode>0</c:formatCode>
                <c:ptCount val="1"/>
                <c:pt idx="0">
                  <c:v>25.204946751269034</c:v>
                </c:pt>
              </c:numCache>
            </c:numRef>
          </c:val>
          <c:extLst>
            <c:ext xmlns:c16="http://schemas.microsoft.com/office/drawing/2014/chart" uri="{C3380CC4-5D6E-409C-BE32-E72D297353CC}">
              <c16:uniqueId val="{00000000-427E-43D2-84EF-3964B87D2170}"/>
            </c:ext>
          </c:extLst>
        </c:ser>
        <c:ser>
          <c:idx val="1"/>
          <c:order val="1"/>
          <c:tx>
            <c:strRef>
              <c:f>Eingabemaske!$L$11</c:f>
              <c:strCache>
                <c:ptCount val="1"/>
                <c:pt idx="0">
                  <c:v>Transport zur AMA</c:v>
                </c:pt>
              </c:strCache>
            </c:strRef>
          </c:tx>
          <c:spPr>
            <a:solidFill>
              <a:schemeClr val="tx1">
                <a:lumMod val="50000"/>
                <a:lumOff val="50000"/>
              </a:schemeClr>
            </a:solidFill>
            <a:ln>
              <a:noFill/>
            </a:ln>
            <a:effectLst>
              <a:outerShdw blurRad="57150" dist="19050" dir="5400000" algn="ctr" rotWithShape="0">
                <a:srgbClr val="000000">
                  <a:alpha val="63000"/>
                </a:srgbClr>
              </a:outerShdw>
            </a:effectLst>
          </c:spPr>
          <c:invertIfNegative val="0"/>
          <c:dLbls>
            <c:dLbl>
              <c:idx val="0"/>
              <c:layout>
                <c:manualLayout>
                  <c:x val="0"/>
                  <c:y val="-0.21296296296296297"/>
                </c:manualLayout>
              </c:layou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7E-43D2-84EF-3964B87D2170}"/>
                </c:ext>
              </c:extLst>
            </c:dLbl>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cat>
            <c:strRef>
              <c:f>Eingabemaske!$J$14</c:f>
              <c:strCache>
                <c:ptCount val="1"/>
                <c:pt idx="0">
                  <c:v>RA 20%</c:v>
                </c:pt>
              </c:strCache>
            </c:strRef>
          </c:cat>
          <c:val>
            <c:numRef>
              <c:f>Eingabemaske!$L$14</c:f>
              <c:numCache>
                <c:formatCode>0</c:formatCode>
                <c:ptCount val="1"/>
                <c:pt idx="0">
                  <c:v>3.9600914923857857</c:v>
                </c:pt>
              </c:numCache>
            </c:numRef>
          </c:val>
          <c:extLst>
            <c:ext xmlns:c16="http://schemas.microsoft.com/office/drawing/2014/chart" uri="{C3380CC4-5D6E-409C-BE32-E72D297353CC}">
              <c16:uniqueId val="{00000002-427E-43D2-84EF-3964B87D2170}"/>
            </c:ext>
          </c:extLst>
        </c:ser>
        <c:ser>
          <c:idx val="2"/>
          <c:order val="2"/>
          <c:tx>
            <c:strRef>
              <c:f>Eingabemaske!$M$11</c:f>
              <c:strCache>
                <c:ptCount val="1"/>
                <c:pt idx="0">
                  <c:v>Herstellung Mischgut</c:v>
                </c:pt>
              </c:strCache>
            </c:strRef>
          </c:tx>
          <c:spPr>
            <a:solidFill>
              <a:schemeClr val="tx2">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Eingabemaske!$J$14</c:f>
              <c:strCache>
                <c:ptCount val="1"/>
                <c:pt idx="0">
                  <c:v>RA 20%</c:v>
                </c:pt>
              </c:strCache>
            </c:strRef>
          </c:cat>
          <c:val>
            <c:numRef>
              <c:f>Eingabemaske!$M$14</c:f>
              <c:numCache>
                <c:formatCode>0</c:formatCode>
                <c:ptCount val="1"/>
                <c:pt idx="0">
                  <c:v>15.517756054010407</c:v>
                </c:pt>
              </c:numCache>
            </c:numRef>
          </c:val>
          <c:extLst>
            <c:ext xmlns:c16="http://schemas.microsoft.com/office/drawing/2014/chart" uri="{C3380CC4-5D6E-409C-BE32-E72D297353CC}">
              <c16:uniqueId val="{00000003-427E-43D2-84EF-3964B87D2170}"/>
            </c:ext>
          </c:extLst>
        </c:ser>
        <c:ser>
          <c:idx val="4"/>
          <c:order val="3"/>
          <c:tx>
            <c:strRef>
              <c:f>Eingabemaske!$N$11</c:f>
              <c:strCache>
                <c:ptCount val="1"/>
                <c:pt idx="0">
                  <c:v>Transport zur BST</c:v>
                </c:pt>
              </c:strCache>
            </c:strRef>
          </c:tx>
          <c:spPr>
            <a:solidFill>
              <a:schemeClr val="accent6">
                <a:lumMod val="50000"/>
              </a:schemeClr>
            </a:solidFill>
            <a:ln>
              <a:noFill/>
            </a:ln>
            <a:effectLst>
              <a:outerShdw blurRad="57150" dist="19050" dir="5400000" algn="ctr" rotWithShape="0">
                <a:srgbClr val="000000">
                  <a:alpha val="63000"/>
                </a:srgbClr>
              </a:outerShdw>
            </a:effectLst>
          </c:spPr>
          <c:invertIfNegative val="0"/>
          <c:dLbls>
            <c:dLbl>
              <c:idx val="0"/>
              <c:layout>
                <c:manualLayout>
                  <c:x val="8.3333333333332309E-3"/>
                  <c:y val="0.20761245674740475"/>
                </c:manualLayout>
              </c:layout>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7E-43D2-84EF-3964B87D2170}"/>
                </c:ext>
              </c:extLst>
            </c:dLbl>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cat>
            <c:strRef>
              <c:f>Eingabemaske!$J$14</c:f>
              <c:strCache>
                <c:ptCount val="1"/>
                <c:pt idx="0">
                  <c:v>RA 20%</c:v>
                </c:pt>
              </c:strCache>
            </c:strRef>
          </c:cat>
          <c:val>
            <c:numRef>
              <c:f>Eingabemaske!$N$14</c:f>
              <c:numCache>
                <c:formatCode>0</c:formatCode>
                <c:ptCount val="1"/>
                <c:pt idx="0">
                  <c:v>3.7679999999999998</c:v>
                </c:pt>
              </c:numCache>
            </c:numRef>
          </c:val>
          <c:extLst>
            <c:ext xmlns:c16="http://schemas.microsoft.com/office/drawing/2014/chart" uri="{C3380CC4-5D6E-409C-BE32-E72D297353CC}">
              <c16:uniqueId val="{00000005-427E-43D2-84EF-3964B87D2170}"/>
            </c:ext>
          </c:extLst>
        </c:ser>
        <c:dLbls>
          <c:showLegendKey val="0"/>
          <c:showVal val="0"/>
          <c:showCatName val="0"/>
          <c:showSerName val="0"/>
          <c:showPercent val="0"/>
          <c:showBubbleSize val="0"/>
        </c:dLbls>
        <c:gapWidth val="120"/>
        <c:overlap val="100"/>
        <c:axId val="332770976"/>
        <c:axId val="137452432"/>
      </c:barChart>
      <c:catAx>
        <c:axId val="332770976"/>
        <c:scaling>
          <c:orientation val="minMax"/>
        </c:scaling>
        <c:delete val="1"/>
        <c:axPos val="l"/>
        <c:numFmt formatCode="General" sourceLinked="1"/>
        <c:majorTickMark val="none"/>
        <c:minorTickMark val="none"/>
        <c:tickLblPos val="nextTo"/>
        <c:crossAx val="137452432"/>
        <c:crosses val="autoZero"/>
        <c:auto val="1"/>
        <c:lblAlgn val="ctr"/>
        <c:lblOffset val="100"/>
        <c:noMultiLvlLbl val="0"/>
      </c:catAx>
      <c:valAx>
        <c:axId val="137452432"/>
        <c:scaling>
          <c:orientation val="minMax"/>
          <c:max val="90"/>
          <c:min val="0"/>
        </c:scaling>
        <c:delete val="0"/>
        <c:axPos val="b"/>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title>
          <c:tx>
            <c:rich>
              <a:bodyPr rot="0" spcFirstLastPara="1" vertOverflow="ellipsis" vert="horz" wrap="square" anchor="ctr" anchorCtr="1"/>
              <a:lstStyle/>
              <a:p>
                <a:pPr>
                  <a:defRPr sz="900" b="0" i="0" u="none" strike="noStrike" kern="1200" cap="none" baseline="0">
                    <a:solidFill>
                      <a:schemeClr val="lt1">
                        <a:lumMod val="85000"/>
                      </a:schemeClr>
                    </a:solidFill>
                    <a:latin typeface="Arial" panose="020B0604020202020204" pitchFamily="34" charset="0"/>
                    <a:ea typeface="+mn-ea"/>
                    <a:cs typeface="Arial" panose="020B0604020202020204" pitchFamily="34" charset="0"/>
                  </a:defRPr>
                </a:pPr>
                <a:r>
                  <a:rPr lang="en-US" b="0" cap="none" baseline="0"/>
                  <a:t>kg CO</a:t>
                </a:r>
                <a:r>
                  <a:rPr lang="en-US" b="0" cap="none" baseline="-25000"/>
                  <a:t>2</a:t>
                </a:r>
                <a:r>
                  <a:rPr lang="en-US" b="0" cap="none" baseline="0"/>
                  <a:t>e je Tonne Asphaltmischgut</a:t>
                </a:r>
                <a:endParaRPr lang="en-US" b="0" cap="none" baseline="30000"/>
              </a:p>
            </c:rich>
          </c:tx>
          <c:overlay val="0"/>
          <c:spPr>
            <a:noFill/>
            <a:ln>
              <a:noFill/>
            </a:ln>
            <a:effectLst/>
          </c:spPr>
          <c:txPr>
            <a:bodyPr rot="0" spcFirstLastPara="1" vertOverflow="ellipsis" vert="horz" wrap="square" anchor="ctr" anchorCtr="1"/>
            <a:lstStyle/>
            <a:p>
              <a:pPr>
                <a:defRPr sz="900" b="0" i="0" u="none" strike="noStrike" kern="1200" cap="none" baseline="0">
                  <a:solidFill>
                    <a:schemeClr val="lt1">
                      <a:lumMod val="85000"/>
                    </a:schemeClr>
                  </a:solidFill>
                  <a:latin typeface="Arial" panose="020B0604020202020204" pitchFamily="34" charset="0"/>
                  <a:ea typeface="+mn-ea"/>
                  <a:cs typeface="Arial" panose="020B0604020202020204" pitchFamily="34" charset="0"/>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crossAx val="332770976"/>
        <c:crosses val="autoZero"/>
        <c:crossBetween val="between"/>
        <c:majorUnit val="1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tx1">
        <a:lumMod val="75000"/>
        <a:lumOff val="25000"/>
      </a:schemeClr>
    </a:solidFill>
    <a:ln>
      <a:solidFill>
        <a:schemeClr val="tx1"/>
      </a:solidFill>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30</xdr:row>
      <xdr:rowOff>0</xdr:rowOff>
    </xdr:from>
    <xdr:to>
      <xdr:col>15</xdr:col>
      <xdr:colOff>240</xdr:colOff>
      <xdr:row>40</xdr:row>
      <xdr:rowOff>7620</xdr:rowOff>
    </xdr:to>
    <xdr:graphicFrame macro="">
      <xdr:nvGraphicFramePr>
        <xdr:cNvPr id="11" name="Diagramm 10">
          <a:extLst>
            <a:ext uri="{FF2B5EF4-FFF2-40B4-BE49-F238E27FC236}">
              <a16:creationId xmlns:a16="http://schemas.microsoft.com/office/drawing/2014/main" id="{64BBA484-A6E7-407E-81CE-3793337E4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15</xdr:col>
      <xdr:colOff>240</xdr:colOff>
      <xdr:row>29</xdr:row>
      <xdr:rowOff>7620</xdr:rowOff>
    </xdr:to>
    <xdr:graphicFrame macro="">
      <xdr:nvGraphicFramePr>
        <xdr:cNvPr id="13" name="Diagramm 12">
          <a:extLst>
            <a:ext uri="{FF2B5EF4-FFF2-40B4-BE49-F238E27FC236}">
              <a16:creationId xmlns:a16="http://schemas.microsoft.com/office/drawing/2014/main" id="{EA5F5F3C-CE5B-4BB7-B8B0-4AE4088CA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ure.umweltbundesamt.at/co2mon/co2mon.html" TargetMode="External"/><Relationship Id="rId2" Type="http://schemas.openxmlformats.org/officeDocument/2006/relationships/hyperlink" Target="https://secure.umweltbundesamt.at/co2mon/co2mon.html" TargetMode="External"/><Relationship Id="rId1" Type="http://schemas.openxmlformats.org/officeDocument/2006/relationships/hyperlink" Target="https://secure.umweltbundesamt.at/co2mon/co2mon.html"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70BB-9EE7-49C8-8FD7-2A5DFA6B668A}">
  <sheetPr codeName="Tabelle1"/>
  <dimension ref="A1:AW211"/>
  <sheetViews>
    <sheetView tabSelected="1" zoomScaleNormal="100" workbookViewId="0">
      <selection activeCell="E5" sqref="E5:G5"/>
    </sheetView>
  </sheetViews>
  <sheetFormatPr baseColWidth="10" defaultColWidth="11.44140625" defaultRowHeight="13.2" x14ac:dyDescent="0.25"/>
  <cols>
    <col min="1" max="1" width="5.77734375" style="1" customWidth="1"/>
    <col min="2" max="8" width="16.33203125" style="1" customWidth="1"/>
    <col min="9" max="9" width="5.77734375" style="1" customWidth="1"/>
    <col min="10" max="15" width="16.33203125" style="1" customWidth="1"/>
    <col min="16" max="16" width="5.77734375" style="1" customWidth="1"/>
    <col min="17" max="16384" width="11.44140625" style="1"/>
  </cols>
  <sheetData>
    <row r="1" spans="1:49" ht="12.7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49" ht="12.75" customHeight="1" x14ac:dyDescent="0.25">
      <c r="A2" s="4"/>
      <c r="B2" s="159" t="s">
        <v>437</v>
      </c>
      <c r="C2" s="160"/>
      <c r="D2" s="160"/>
      <c r="E2" s="160"/>
      <c r="F2" s="160"/>
      <c r="G2" s="160"/>
      <c r="H2" s="160"/>
      <c r="I2" s="160"/>
      <c r="J2" s="160"/>
      <c r="K2" s="160"/>
      <c r="L2" s="160"/>
      <c r="M2" s="160"/>
      <c r="N2" s="160"/>
      <c r="O2" s="161"/>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ht="12.75" customHeight="1" x14ac:dyDescent="0.25">
      <c r="A3" s="4"/>
      <c r="B3" s="162"/>
      <c r="C3" s="163"/>
      <c r="D3" s="163"/>
      <c r="E3" s="163"/>
      <c r="F3" s="163"/>
      <c r="G3" s="163"/>
      <c r="H3" s="163"/>
      <c r="I3" s="163"/>
      <c r="J3" s="163"/>
      <c r="K3" s="163"/>
      <c r="L3" s="163"/>
      <c r="M3" s="163"/>
      <c r="N3" s="163"/>
      <c r="O3" s="164"/>
      <c r="P3" s="4"/>
      <c r="Q3" s="7"/>
      <c r="R3" s="7"/>
      <c r="S3" s="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ht="12.75" customHeight="1" x14ac:dyDescent="0.25">
      <c r="A4" s="4"/>
      <c r="B4" s="4"/>
      <c r="C4" s="4"/>
      <c r="D4" s="4"/>
      <c r="E4" s="4"/>
      <c r="F4" s="4"/>
      <c r="G4" s="4"/>
      <c r="H4" s="4"/>
      <c r="I4" s="4"/>
      <c r="J4" s="4"/>
      <c r="K4" s="4"/>
      <c r="L4" s="4"/>
      <c r="M4" s="4"/>
      <c r="N4" s="4"/>
      <c r="O4" s="7" t="s">
        <v>471</v>
      </c>
      <c r="P4" s="4"/>
      <c r="Q4" s="7"/>
      <c r="R4" s="48"/>
      <c r="S4" s="48"/>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ht="12.75" customHeight="1" x14ac:dyDescent="0.25">
      <c r="A5" s="4"/>
      <c r="B5" s="152" t="s">
        <v>465</v>
      </c>
      <c r="C5" s="153"/>
      <c r="D5" s="154"/>
      <c r="E5" s="166" t="s">
        <v>459</v>
      </c>
      <c r="F5" s="166"/>
      <c r="G5" s="166"/>
      <c r="H5" s="4"/>
      <c r="I5" s="4"/>
      <c r="J5" s="4"/>
      <c r="K5" s="4"/>
      <c r="L5" s="4"/>
      <c r="M5" s="4"/>
      <c r="N5" s="4"/>
      <c r="O5" s="4"/>
      <c r="P5" s="4"/>
      <c r="Q5" s="7"/>
      <c r="R5" s="48"/>
      <c r="S5" s="48"/>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row>
    <row r="6" spans="1:49" ht="12.75" customHeight="1" x14ac:dyDescent="0.25">
      <c r="A6" s="4"/>
      <c r="B6" s="152" t="s">
        <v>470</v>
      </c>
      <c r="C6" s="153"/>
      <c r="D6" s="154"/>
      <c r="E6" s="166" t="s">
        <v>469</v>
      </c>
      <c r="F6" s="166"/>
      <c r="G6" s="166"/>
      <c r="H6" s="4"/>
      <c r="I6" s="4"/>
      <c r="J6" s="4"/>
      <c r="K6" s="4"/>
      <c r="L6" s="4"/>
      <c r="M6" s="4"/>
      <c r="N6" s="4"/>
      <c r="O6" s="4"/>
      <c r="P6" s="4"/>
      <c r="Q6" s="7"/>
      <c r="R6" s="48"/>
      <c r="S6" s="48"/>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12.75" customHeight="1" x14ac:dyDescent="0.25">
      <c r="A7" s="4"/>
      <c r="B7" s="152" t="s">
        <v>464</v>
      </c>
      <c r="C7" s="153"/>
      <c r="D7" s="154"/>
      <c r="E7" s="166" t="s">
        <v>458</v>
      </c>
      <c r="F7" s="166"/>
      <c r="G7" s="166"/>
      <c r="H7" s="4"/>
      <c r="I7" s="4"/>
      <c r="J7" s="4"/>
      <c r="K7" s="4"/>
      <c r="L7" s="4"/>
      <c r="M7" s="4"/>
      <c r="N7" s="4"/>
      <c r="O7" s="4"/>
      <c r="P7" s="4"/>
      <c r="Q7" s="7"/>
      <c r="R7" s="48"/>
      <c r="S7" s="48"/>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row>
    <row r="8" spans="1:49" ht="12.75" customHeight="1" x14ac:dyDescent="0.25">
      <c r="A8" s="4"/>
      <c r="B8" s="152" t="s">
        <v>463</v>
      </c>
      <c r="C8" s="153"/>
      <c r="D8" s="154"/>
      <c r="E8" s="166" t="s">
        <v>458</v>
      </c>
      <c r="F8" s="166"/>
      <c r="G8" s="166"/>
      <c r="H8" s="4"/>
      <c r="I8" s="4"/>
      <c r="J8" s="4"/>
      <c r="K8" s="4"/>
      <c r="L8" s="4"/>
      <c r="M8" s="4"/>
      <c r="N8" s="4"/>
      <c r="O8" s="4"/>
      <c r="P8" s="4"/>
      <c r="Q8" s="7"/>
      <c r="R8" s="48"/>
      <c r="S8" s="48"/>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x14ac:dyDescent="0.25">
      <c r="A9" s="4"/>
      <c r="B9" s="4"/>
      <c r="C9" s="4"/>
      <c r="D9" s="128" t="s">
        <v>438</v>
      </c>
      <c r="E9" s="4"/>
      <c r="F9" s="4"/>
      <c r="G9" s="4"/>
      <c r="H9" s="4"/>
      <c r="I9" s="4"/>
      <c r="J9" s="4"/>
      <c r="K9" s="4"/>
      <c r="L9" s="4"/>
      <c r="M9" s="4"/>
      <c r="N9" s="4"/>
      <c r="O9" s="4"/>
      <c r="P9" s="4"/>
      <c r="Q9" s="7"/>
      <c r="R9" s="48"/>
      <c r="S9" s="48"/>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row>
    <row r="10" spans="1:49" x14ac:dyDescent="0.25">
      <c r="A10" s="4"/>
      <c r="B10" s="156" t="s">
        <v>333</v>
      </c>
      <c r="C10" s="157"/>
      <c r="D10" s="157"/>
      <c r="E10" s="157"/>
      <c r="F10" s="157"/>
      <c r="G10" s="158"/>
      <c r="H10" s="4"/>
      <c r="I10" s="4"/>
      <c r="J10" s="4"/>
      <c r="K10" s="156" t="s">
        <v>442</v>
      </c>
      <c r="L10" s="157"/>
      <c r="M10" s="157"/>
      <c r="N10" s="157"/>
      <c r="O10" s="158"/>
      <c r="P10" s="4"/>
      <c r="Q10" s="7"/>
      <c r="R10" s="48"/>
      <c r="S10" s="48"/>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row>
    <row r="11" spans="1:49" ht="13.2" customHeight="1" x14ac:dyDescent="0.25">
      <c r="A11" s="4"/>
      <c r="B11" s="77" t="s">
        <v>296</v>
      </c>
      <c r="C11" s="78" t="s">
        <v>297</v>
      </c>
      <c r="D11" s="77" t="s">
        <v>298</v>
      </c>
      <c r="E11" s="77" t="s">
        <v>299</v>
      </c>
      <c r="F11" s="77" t="s">
        <v>439</v>
      </c>
      <c r="G11" s="82" t="s">
        <v>440</v>
      </c>
      <c r="H11" s="77" t="s">
        <v>295</v>
      </c>
      <c r="I11" s="4"/>
      <c r="J11" s="4"/>
      <c r="K11" s="84" t="s">
        <v>32</v>
      </c>
      <c r="L11" s="99" t="s">
        <v>33</v>
      </c>
      <c r="M11" s="85" t="s">
        <v>144</v>
      </c>
      <c r="N11" s="99" t="s">
        <v>34</v>
      </c>
      <c r="O11" s="83" t="s">
        <v>7</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49" x14ac:dyDescent="0.25">
      <c r="A12" s="4"/>
      <c r="B12" s="54">
        <v>4.5</v>
      </c>
      <c r="C12" s="54">
        <v>89</v>
      </c>
      <c r="D12" s="54">
        <v>5.3</v>
      </c>
      <c r="E12" s="54">
        <v>0</v>
      </c>
      <c r="F12" s="54">
        <v>1.2</v>
      </c>
      <c r="G12" s="55" t="s">
        <v>165</v>
      </c>
      <c r="H12" s="91">
        <f>ROUND(C12,1)+ROUND(D12,1)+ROUND(E12,1)+ROUND(F12,1)+ROUND(B12,1)</f>
        <v>100</v>
      </c>
      <c r="I12" s="4"/>
      <c r="J12" s="83" t="s">
        <v>262</v>
      </c>
      <c r="K12" s="87" t="s">
        <v>286</v>
      </c>
      <c r="L12" s="100" t="s">
        <v>287</v>
      </c>
      <c r="M12" s="88" t="s">
        <v>288</v>
      </c>
      <c r="N12" s="100" t="s">
        <v>289</v>
      </c>
      <c r="O12" s="86" t="s">
        <v>290</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row>
    <row r="13" spans="1:49" ht="13.2" customHeight="1" x14ac:dyDescent="0.35">
      <c r="A13" s="4"/>
      <c r="B13" s="76"/>
      <c r="C13" s="76"/>
      <c r="D13" s="165" t="str">
        <f>IF(AND($H$12=100,$F$12&gt;0),"* "&amp;berechnung!$AD$7&amp;" m% Kalkhydratanteil am Gesamtfüller","")</f>
        <v>* 18,5 m% Kalkhydratanteil am Gesamtfüller</v>
      </c>
      <c r="E13" s="165"/>
      <c r="F13" s="165"/>
      <c r="G13" s="144" t="s">
        <v>441</v>
      </c>
      <c r="H13" s="76"/>
      <c r="I13" s="4"/>
      <c r="J13" s="89" t="s">
        <v>320</v>
      </c>
      <c r="K13" s="90" t="s">
        <v>429</v>
      </c>
      <c r="L13" s="90" t="s">
        <v>429</v>
      </c>
      <c r="M13" s="90" t="s">
        <v>429</v>
      </c>
      <c r="N13" s="90" t="s">
        <v>429</v>
      </c>
      <c r="O13" s="98" t="s">
        <v>429</v>
      </c>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row>
    <row r="14" spans="1:49" x14ac:dyDescent="0.25">
      <c r="A14" s="4"/>
      <c r="B14" s="156" t="s">
        <v>428</v>
      </c>
      <c r="C14" s="157"/>
      <c r="D14" s="158"/>
      <c r="E14" s="76"/>
      <c r="F14" s="76"/>
      <c r="G14" s="76"/>
      <c r="H14" s="76"/>
      <c r="I14" s="4"/>
      <c r="J14" s="110" t="str">
        <f>IF(AND($H$12=100,$E$16=100,$H$16="Ok"),VLOOKUP($G$16,berechnung!$CY$10:$DE$25,2,FALSE),"")</f>
        <v>RA 20%</v>
      </c>
      <c r="K14" s="135">
        <f>IF(AND($H$12=100,$E$16=100,$H$16="Ok"),VLOOKUP($G$16,berechnung!$CO$10:$CU$25,3,FALSE),"")</f>
        <v>25.204946751269034</v>
      </c>
      <c r="L14" s="136">
        <f>IF(AND($H$12=100,$E$16=100,$H$16="Ok"),VLOOKUP($G$16,berechnung!$CO$10:$CU$25,4,FALSE),"")</f>
        <v>3.9600914923857857</v>
      </c>
      <c r="M14" s="148">
        <f>IF(AND($H$12=100,$E$16=100,$H$16="Ok"),VLOOKUP($G$16,berechnung!$CO$10:$CU$25,5,FALSE),"")</f>
        <v>15.517756054010407</v>
      </c>
      <c r="N14" s="137">
        <f>IF(AND($H$12=100,$E$16=100,$H$16="Ok"),VLOOKUP($G$16,berechnung!$CO$10:$CU$25,6,FALSE),"")</f>
        <v>3.7679999999999998</v>
      </c>
      <c r="O14" s="138">
        <f>IF(AND($H$12=100,$E$16=100,$H$16="Ok"),VLOOKUP($G$16,berechnung!$CO$10:$CU$25,7,FALSE),"")</f>
        <v>48.450794297665226</v>
      </c>
      <c r="P14" s="113"/>
      <c r="Q14" s="113"/>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49" ht="13.2" customHeight="1" x14ac:dyDescent="0.25">
      <c r="A15" s="4"/>
      <c r="B15" s="79" t="s">
        <v>296</v>
      </c>
      <c r="C15" s="77" t="s">
        <v>297</v>
      </c>
      <c r="D15" s="80" t="s">
        <v>309</v>
      </c>
      <c r="E15" s="77" t="s">
        <v>295</v>
      </c>
      <c r="F15" s="77" t="s">
        <v>451</v>
      </c>
      <c r="G15" s="77" t="s">
        <v>450</v>
      </c>
      <c r="H15" s="77" t="s">
        <v>462</v>
      </c>
      <c r="I15" s="4"/>
      <c r="J15" s="4"/>
      <c r="K15" s="114"/>
      <c r="L15" s="114"/>
      <c r="M15" s="114"/>
      <c r="N15" s="114"/>
      <c r="O15" s="114"/>
      <c r="P15" s="115"/>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ht="13.2" customHeight="1" x14ac:dyDescent="0.25">
      <c r="A16" s="4"/>
      <c r="B16" s="54">
        <v>4</v>
      </c>
      <c r="C16" s="54">
        <v>86</v>
      </c>
      <c r="D16" s="54">
        <v>10</v>
      </c>
      <c r="E16" s="91">
        <f>ROUND(C16,1)+ROUND(D16,1)+ROUND(B16,1)</f>
        <v>100</v>
      </c>
      <c r="F16" s="143" t="str">
        <f>IF($G$16&gt;0,IF($G$28=15,"Kaltzugabe","Warmzugabe"),"kein RA")</f>
        <v>Kaltzugabe</v>
      </c>
      <c r="G16" s="57">
        <v>20</v>
      </c>
      <c r="H16" s="146" t="str">
        <f>IF(berechnung!$C$36&lt;0,"Fülleranteil",IF(berechnung!$C$37&lt;0,"Bitumenanteil",IF(berechnung!$C$38&lt;0,"Gesteinsanteil","Ok")))</f>
        <v>Ok</v>
      </c>
      <c r="I16" s="4"/>
      <c r="J16" s="4"/>
      <c r="K16" s="4"/>
      <c r="L16" s="4"/>
      <c r="M16" s="4"/>
      <c r="N16" s="130" t="s">
        <v>432</v>
      </c>
      <c r="O16" s="131" t="s">
        <v>394</v>
      </c>
      <c r="P16" s="4"/>
      <c r="Q16" s="4"/>
      <c r="R16" s="4"/>
      <c r="S16" s="4"/>
      <c r="T16" s="4"/>
      <c r="U16" s="4"/>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x14ac:dyDescent="0.25">
      <c r="A17" s="4"/>
      <c r="B17" s="129"/>
      <c r="C17" s="76"/>
      <c r="D17" s="76"/>
      <c r="E17" s="128"/>
      <c r="F17" s="144" t="s">
        <v>448</v>
      </c>
      <c r="G17" s="144" t="s">
        <v>449</v>
      </c>
      <c r="H17" s="76"/>
      <c r="I17" s="4"/>
      <c r="J17" s="4"/>
      <c r="K17" s="4"/>
      <c r="L17" s="4"/>
      <c r="M17" s="4"/>
      <c r="N17" s="134">
        <v>2.5489999999999999</v>
      </c>
      <c r="O17" s="112">
        <f>IF(AND($H$12=100,$E$16=100,$H$16="Ok"),VLOOKUP($G$16,berechnung!$CY$10:$DE$25,7,FALSE),"")</f>
        <v>123.50107466474866</v>
      </c>
      <c r="P17" s="4"/>
      <c r="Q17" s="4"/>
      <c r="R17" s="4"/>
      <c r="S17" s="4"/>
      <c r="T17" s="4"/>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row>
    <row r="18" spans="1:49" x14ac:dyDescent="0.25">
      <c r="A18" s="4"/>
      <c r="B18" s="156" t="s">
        <v>294</v>
      </c>
      <c r="C18" s="157"/>
      <c r="D18" s="157"/>
      <c r="E18" s="157"/>
      <c r="F18" s="157"/>
      <c r="G18" s="158"/>
      <c r="H18" s="76"/>
      <c r="I18" s="4"/>
      <c r="J18" s="4"/>
      <c r="K18" s="4"/>
      <c r="L18" s="4"/>
      <c r="M18" s="4"/>
      <c r="N18" s="144" t="s">
        <v>433</v>
      </c>
      <c r="O18" s="50"/>
      <c r="P18" s="4"/>
      <c r="Q18" s="4"/>
      <c r="R18" s="4"/>
      <c r="S18" s="4"/>
      <c r="T18" s="4"/>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49" x14ac:dyDescent="0.25">
      <c r="A19" s="4"/>
      <c r="B19" s="77" t="s">
        <v>296</v>
      </c>
      <c r="C19" s="78" t="s">
        <v>297</v>
      </c>
      <c r="D19" s="77" t="s">
        <v>298</v>
      </c>
      <c r="E19" s="77" t="s">
        <v>299</v>
      </c>
      <c r="F19" s="77" t="s">
        <v>300</v>
      </c>
      <c r="G19" s="77" t="s">
        <v>301</v>
      </c>
      <c r="H19" s="4"/>
      <c r="I19" s="4"/>
      <c r="J19" s="4"/>
      <c r="K19" s="4"/>
      <c r="L19" s="4"/>
      <c r="M19" s="4"/>
      <c r="N19" s="4"/>
      <c r="O19" s="51"/>
      <c r="P19" s="4"/>
      <c r="Q19" s="4"/>
      <c r="R19" s="4"/>
      <c r="S19" s="4"/>
      <c r="T19" s="4"/>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row>
    <row r="20" spans="1:49" ht="26.4" customHeight="1" x14ac:dyDescent="0.25">
      <c r="A20" s="4"/>
      <c r="B20" s="140" t="s">
        <v>52</v>
      </c>
      <c r="C20" s="141" t="s">
        <v>443</v>
      </c>
      <c r="D20" s="140" t="s">
        <v>52</v>
      </c>
      <c r="E20" s="140" t="s">
        <v>52</v>
      </c>
      <c r="F20" s="140" t="s">
        <v>52</v>
      </c>
      <c r="G20" s="141" t="s">
        <v>446</v>
      </c>
      <c r="H20" s="4"/>
      <c r="I20" s="4"/>
      <c r="J20" s="4"/>
      <c r="K20" s="4"/>
      <c r="L20" s="4"/>
      <c r="M20" s="6"/>
      <c r="N20" s="6"/>
      <c r="O20" s="4"/>
      <c r="P20" s="7"/>
      <c r="Q20" s="4"/>
      <c r="R20" s="4"/>
      <c r="S20" s="4"/>
      <c r="T20" s="4"/>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row>
    <row r="21" spans="1:49" x14ac:dyDescent="0.25">
      <c r="A21" s="4"/>
      <c r="B21" s="76"/>
      <c r="C21" s="76"/>
      <c r="D21" s="76"/>
      <c r="E21" s="76"/>
      <c r="F21" s="4"/>
      <c r="G21" s="4"/>
      <c r="H21" s="76"/>
      <c r="I21" s="4"/>
      <c r="J21" s="4"/>
      <c r="K21" s="4"/>
      <c r="L21" s="4"/>
      <c r="M21" s="6"/>
      <c r="N21" s="6"/>
      <c r="O21" s="4"/>
      <c r="P21" s="7"/>
      <c r="Q21" s="4"/>
      <c r="R21" s="4"/>
      <c r="S21" s="4"/>
      <c r="T21" s="4"/>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row>
    <row r="22" spans="1:49" x14ac:dyDescent="0.25">
      <c r="A22" s="4"/>
      <c r="B22" s="156" t="s">
        <v>291</v>
      </c>
      <c r="C22" s="157"/>
      <c r="D22" s="157"/>
      <c r="E22" s="157"/>
      <c r="F22" s="157"/>
      <c r="G22" s="158"/>
      <c r="H22" s="76"/>
      <c r="I22" s="4"/>
      <c r="J22" s="4"/>
      <c r="K22" s="4"/>
      <c r="L22" s="4"/>
      <c r="M22" s="6"/>
      <c r="N22" s="6"/>
      <c r="O22" s="4"/>
      <c r="P22" s="7"/>
      <c r="Q22" s="4"/>
      <c r="R22" s="4"/>
      <c r="S22" s="4"/>
      <c r="T22" s="4"/>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row>
    <row r="23" spans="1:49" x14ac:dyDescent="0.25">
      <c r="A23" s="4"/>
      <c r="B23" s="77" t="s">
        <v>302</v>
      </c>
      <c r="C23" s="77" t="s">
        <v>303</v>
      </c>
      <c r="D23" s="77" t="s">
        <v>304</v>
      </c>
      <c r="E23" s="77" t="s">
        <v>305</v>
      </c>
      <c r="F23" s="77" t="s">
        <v>293</v>
      </c>
      <c r="G23" s="77" t="s">
        <v>306</v>
      </c>
      <c r="H23" s="77" t="s">
        <v>40</v>
      </c>
      <c r="I23" s="4"/>
      <c r="J23" s="4"/>
      <c r="K23" s="4"/>
      <c r="L23" s="4"/>
      <c r="M23" s="4"/>
      <c r="N23" s="4"/>
      <c r="O23" s="4"/>
      <c r="P23" s="4"/>
      <c r="Q23" s="4"/>
      <c r="R23" s="4"/>
      <c r="S23" s="4"/>
      <c r="T23" s="4"/>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row>
    <row r="24" spans="1:49" x14ac:dyDescent="0.25">
      <c r="A24" s="4"/>
      <c r="B24" s="97">
        <v>160</v>
      </c>
      <c r="C24" s="97">
        <v>15</v>
      </c>
      <c r="D24" s="97">
        <v>15</v>
      </c>
      <c r="E24" s="97">
        <v>15</v>
      </c>
      <c r="F24" s="97">
        <v>15</v>
      </c>
      <c r="G24" s="97">
        <v>15</v>
      </c>
      <c r="H24" s="56" t="s">
        <v>55</v>
      </c>
      <c r="I24" s="4"/>
      <c r="J24" s="4"/>
      <c r="K24" s="4"/>
      <c r="L24" s="4"/>
      <c r="M24" s="4"/>
      <c r="N24" s="4"/>
      <c r="O24" s="4"/>
      <c r="P24" s="4"/>
      <c r="Q24" s="4"/>
      <c r="R24" s="4"/>
      <c r="S24" s="4"/>
      <c r="T24" s="4"/>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row>
    <row r="25" spans="1:49" x14ac:dyDescent="0.25">
      <c r="A25" s="4"/>
      <c r="B25" s="4"/>
      <c r="C25" s="4"/>
      <c r="D25" s="4"/>
      <c r="E25" s="4"/>
      <c r="F25" s="4"/>
      <c r="G25" s="4"/>
      <c r="H25" s="4"/>
      <c r="I25" s="4"/>
      <c r="J25" s="4"/>
      <c r="K25" s="4"/>
      <c r="L25" s="4"/>
      <c r="M25" s="4"/>
      <c r="N25" s="4"/>
      <c r="O25" s="4"/>
      <c r="P25" s="4"/>
      <c r="Q25" s="4"/>
      <c r="R25" s="4"/>
      <c r="S25" s="4"/>
      <c r="T25" s="4"/>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row>
    <row r="26" spans="1:49" x14ac:dyDescent="0.25">
      <c r="A26" s="4"/>
      <c r="B26" s="156" t="s">
        <v>292</v>
      </c>
      <c r="C26" s="157"/>
      <c r="D26" s="157"/>
      <c r="E26" s="157"/>
      <c r="F26" s="157"/>
      <c r="G26" s="158"/>
      <c r="H26" s="4"/>
      <c r="I26" s="4"/>
      <c r="J26" s="4"/>
      <c r="K26" s="4"/>
      <c r="L26" s="4"/>
      <c r="M26" s="4"/>
      <c r="N26" s="4"/>
      <c r="O26" s="4"/>
      <c r="P26" s="4"/>
      <c r="Q26" s="4"/>
      <c r="R26" s="4"/>
      <c r="S26" s="4"/>
      <c r="T26" s="4"/>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row>
    <row r="27" spans="1:49" ht="13.2" customHeight="1" x14ac:dyDescent="0.25">
      <c r="A27" s="4"/>
      <c r="B27" s="77" t="s">
        <v>302</v>
      </c>
      <c r="C27" s="77" t="s">
        <v>303</v>
      </c>
      <c r="D27" s="77" t="s">
        <v>304</v>
      </c>
      <c r="E27" s="77" t="s">
        <v>305</v>
      </c>
      <c r="F27" s="77" t="s">
        <v>293</v>
      </c>
      <c r="G27" s="77" t="s">
        <v>454</v>
      </c>
      <c r="H27" s="77" t="s">
        <v>307</v>
      </c>
      <c r="I27" s="4"/>
      <c r="J27" s="4"/>
      <c r="K27" s="4"/>
      <c r="L27" s="4"/>
      <c r="M27" s="4"/>
      <c r="N27" s="4"/>
      <c r="O27" s="4"/>
      <c r="P27" s="4"/>
      <c r="Q27" s="4"/>
      <c r="R27" s="4"/>
      <c r="S27" s="4"/>
      <c r="T27" s="4"/>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row>
    <row r="28" spans="1:49" ht="13.2" customHeight="1" x14ac:dyDescent="0.25">
      <c r="A28" s="4"/>
      <c r="B28" s="97">
        <v>160</v>
      </c>
      <c r="C28" s="57">
        <v>226</v>
      </c>
      <c r="D28" s="97">
        <f>D24</f>
        <v>15</v>
      </c>
      <c r="E28" s="97">
        <f>E24</f>
        <v>15</v>
      </c>
      <c r="F28" s="97">
        <f>F24</f>
        <v>15</v>
      </c>
      <c r="G28" s="57">
        <v>15</v>
      </c>
      <c r="H28" s="61">
        <f>IF(AND($H$12=100,$E$16=100),VLOOKUP($G$16,berechnung!E43:S63,10,FALSE),"")</f>
        <v>171.863</v>
      </c>
      <c r="I28" s="4"/>
      <c r="J28" s="4"/>
      <c r="K28" s="4"/>
      <c r="L28" s="4"/>
      <c r="M28" s="4"/>
      <c r="N28" s="4"/>
      <c r="O28" s="4"/>
      <c r="P28" s="4"/>
      <c r="Q28" s="4"/>
      <c r="R28" s="4"/>
      <c r="S28" s="4"/>
      <c r="T28" s="4"/>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row>
    <row r="29" spans="1:49" ht="13.2" customHeight="1" x14ac:dyDescent="0.25">
      <c r="A29" s="4"/>
      <c r="B29" s="145"/>
      <c r="C29" s="76"/>
      <c r="D29" s="76"/>
      <c r="E29" s="76"/>
      <c r="F29" s="76"/>
      <c r="G29" s="145" t="s">
        <v>455</v>
      </c>
      <c r="H29" s="76"/>
      <c r="I29" s="4"/>
      <c r="J29" s="4"/>
      <c r="K29" s="4"/>
      <c r="L29" s="4"/>
      <c r="M29" s="4"/>
      <c r="N29" s="4"/>
      <c r="O29" s="4"/>
      <c r="P29" s="4"/>
      <c r="Q29" s="4"/>
      <c r="R29" s="4"/>
      <c r="S29" s="4"/>
      <c r="T29" s="4"/>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row>
    <row r="30" spans="1:49" ht="12.6" customHeight="1" x14ac:dyDescent="0.25">
      <c r="A30" s="4"/>
      <c r="B30" s="156" t="s">
        <v>390</v>
      </c>
      <c r="C30" s="157"/>
      <c r="D30" s="157"/>
      <c r="E30" s="157"/>
      <c r="F30" s="157"/>
      <c r="G30" s="157"/>
      <c r="H30" s="158"/>
      <c r="I30" s="4"/>
      <c r="J30" s="4"/>
      <c r="K30" s="4"/>
      <c r="L30" s="4"/>
      <c r="M30" s="4"/>
      <c r="N30" s="4"/>
      <c r="O30" s="4"/>
      <c r="P30" s="4"/>
      <c r="Q30" s="4"/>
      <c r="R30" s="4"/>
      <c r="S30" s="4"/>
      <c r="T30" s="4"/>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row>
    <row r="31" spans="1:49" ht="26.4" x14ac:dyDescent="0.25">
      <c r="A31" s="4"/>
      <c r="B31" s="81" t="s">
        <v>336</v>
      </c>
      <c r="C31" s="81" t="s">
        <v>337</v>
      </c>
      <c r="D31" s="81" t="s">
        <v>338</v>
      </c>
      <c r="E31" s="81" t="s">
        <v>339</v>
      </c>
      <c r="F31" s="81" t="s">
        <v>340</v>
      </c>
      <c r="G31" s="81" t="s">
        <v>341</v>
      </c>
      <c r="H31" s="81" t="s">
        <v>342</v>
      </c>
      <c r="I31" s="4"/>
      <c r="J31" s="4"/>
      <c r="K31" s="4"/>
      <c r="L31" s="4"/>
      <c r="M31" s="4"/>
      <c r="N31" s="4"/>
      <c r="O31" s="4"/>
      <c r="P31" s="4"/>
      <c r="Q31" s="4"/>
      <c r="R31" s="4"/>
      <c r="S31" s="4"/>
      <c r="T31" s="4"/>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row>
    <row r="32" spans="1:49" ht="13.2" customHeight="1" x14ac:dyDescent="0.3">
      <c r="A32" s="4"/>
      <c r="B32" s="57">
        <v>100</v>
      </c>
      <c r="C32" s="57">
        <v>50</v>
      </c>
      <c r="D32" s="97">
        <f>C32</f>
        <v>50</v>
      </c>
      <c r="E32" s="57">
        <v>50</v>
      </c>
      <c r="F32" s="57">
        <v>50</v>
      </c>
      <c r="G32" s="97">
        <f>H32</f>
        <v>50</v>
      </c>
      <c r="H32" s="57">
        <v>50</v>
      </c>
      <c r="I32" s="4"/>
      <c r="J32" s="4"/>
      <c r="K32" s="4"/>
      <c r="L32" s="4"/>
      <c r="M32" s="4"/>
      <c r="N32" s="4"/>
      <c r="O32" s="5"/>
      <c r="P32" s="5"/>
      <c r="Q32" s="5"/>
      <c r="R32" s="5"/>
      <c r="S32" s="5"/>
      <c r="T32" s="5"/>
      <c r="U32" s="49"/>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row>
    <row r="33" spans="1:49" ht="26.4" customHeight="1" x14ac:dyDescent="0.3">
      <c r="A33" s="4"/>
      <c r="B33" s="81" t="s">
        <v>344</v>
      </c>
      <c r="C33" s="81" t="s">
        <v>345</v>
      </c>
      <c r="D33" s="81" t="s">
        <v>346</v>
      </c>
      <c r="E33" s="81" t="s">
        <v>343</v>
      </c>
      <c r="F33" s="81" t="s">
        <v>347</v>
      </c>
      <c r="G33" s="81" t="s">
        <v>348</v>
      </c>
      <c r="H33" s="81" t="s">
        <v>349</v>
      </c>
      <c r="I33" s="4"/>
      <c r="J33" s="4"/>
      <c r="K33" s="4"/>
      <c r="L33" s="4"/>
      <c r="M33" s="4"/>
      <c r="N33" s="4"/>
      <c r="O33" s="5"/>
      <c r="P33" s="5"/>
      <c r="Q33" s="5"/>
      <c r="R33" s="5"/>
      <c r="S33" s="5"/>
      <c r="T33" s="5"/>
      <c r="U33" s="49"/>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1:49" ht="13.2" customHeight="1" x14ac:dyDescent="0.3">
      <c r="A34" s="4"/>
      <c r="B34" s="57">
        <v>0</v>
      </c>
      <c r="C34" s="57">
        <v>0</v>
      </c>
      <c r="D34" s="97">
        <f>C34</f>
        <v>0</v>
      </c>
      <c r="E34" s="57">
        <v>0</v>
      </c>
      <c r="F34" s="57">
        <v>0</v>
      </c>
      <c r="G34" s="97">
        <f>H34</f>
        <v>0</v>
      </c>
      <c r="H34" s="57">
        <v>0</v>
      </c>
      <c r="I34" s="4"/>
      <c r="J34" s="4"/>
      <c r="K34" s="4"/>
      <c r="L34" s="4"/>
      <c r="M34" s="4"/>
      <c r="N34" s="4"/>
      <c r="O34" s="5"/>
      <c r="P34" s="5"/>
      <c r="Q34" s="5"/>
      <c r="R34" s="5"/>
      <c r="S34" s="5"/>
      <c r="T34" s="5"/>
      <c r="U34" s="49"/>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1:49" ht="5.0999999999999996" customHeight="1" x14ac:dyDescent="0.25">
      <c r="A35" s="4"/>
      <c r="B35" s="4"/>
      <c r="C35" s="4"/>
      <c r="D35" s="4"/>
      <c r="E35" s="4"/>
      <c r="F35" s="4"/>
      <c r="G35" s="4"/>
      <c r="H35" s="4"/>
      <c r="I35" s="4"/>
      <c r="J35" s="4"/>
      <c r="K35" s="4"/>
      <c r="L35" s="4"/>
      <c r="M35" s="4"/>
      <c r="N35" s="4"/>
      <c r="O35" s="4"/>
      <c r="P35" s="4"/>
      <c r="Q35" s="4"/>
      <c r="R35" s="4"/>
      <c r="S35" s="4"/>
      <c r="T35" s="4"/>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row>
    <row r="36" spans="1:49" ht="12.75" customHeight="1" x14ac:dyDescent="0.25">
      <c r="A36" s="4"/>
      <c r="B36" s="156" t="s">
        <v>391</v>
      </c>
      <c r="C36" s="157"/>
      <c r="D36" s="157"/>
      <c r="E36" s="157"/>
      <c r="F36" s="157"/>
      <c r="G36" s="157"/>
      <c r="H36" s="158"/>
      <c r="I36" s="4"/>
      <c r="J36" s="4"/>
      <c r="K36" s="4"/>
      <c r="L36" s="4"/>
      <c r="M36" s="4"/>
      <c r="N36" s="4"/>
      <c r="O36" s="4"/>
      <c r="P36" s="4"/>
      <c r="Q36" s="4"/>
      <c r="R36" s="4"/>
      <c r="S36" s="4"/>
      <c r="T36" s="4"/>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row>
    <row r="37" spans="1:49" ht="26.4" x14ac:dyDescent="0.25">
      <c r="A37" s="4"/>
      <c r="B37" s="81" t="s">
        <v>363</v>
      </c>
      <c r="C37" s="81" t="s">
        <v>350</v>
      </c>
      <c r="D37" s="81" t="s">
        <v>351</v>
      </c>
      <c r="E37" s="81" t="s">
        <v>352</v>
      </c>
      <c r="F37" s="81" t="s">
        <v>353</v>
      </c>
      <c r="G37" s="81" t="s">
        <v>354</v>
      </c>
      <c r="H37" s="81" t="s">
        <v>355</v>
      </c>
      <c r="I37" s="4"/>
      <c r="J37" s="4"/>
      <c r="K37" s="4"/>
      <c r="L37" s="4"/>
      <c r="M37" s="4"/>
      <c r="N37" s="4"/>
      <c r="O37" s="4"/>
      <c r="P37" s="4"/>
      <c r="Q37" s="4"/>
      <c r="R37" s="4"/>
      <c r="S37" s="4"/>
      <c r="T37" s="4"/>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row>
    <row r="38" spans="1:49" ht="13.2" customHeight="1" x14ac:dyDescent="0.3">
      <c r="A38" s="4"/>
      <c r="B38" s="57">
        <v>0</v>
      </c>
      <c r="C38" s="57">
        <v>0</v>
      </c>
      <c r="D38" s="97">
        <f>C38</f>
        <v>0</v>
      </c>
      <c r="E38" s="57">
        <v>0</v>
      </c>
      <c r="F38" s="57">
        <v>0</v>
      </c>
      <c r="G38" s="97">
        <f>H38</f>
        <v>0</v>
      </c>
      <c r="H38" s="57">
        <v>0</v>
      </c>
      <c r="I38" s="4"/>
      <c r="J38" s="4"/>
      <c r="K38" s="4"/>
      <c r="L38" s="4"/>
      <c r="M38" s="4"/>
      <c r="N38" s="4"/>
      <c r="O38" s="5"/>
      <c r="P38" s="5"/>
      <c r="Q38" s="5"/>
      <c r="R38" s="5"/>
      <c r="S38" s="5"/>
      <c r="T38" s="5"/>
      <c r="U38" s="49"/>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1:49" ht="26.4" customHeight="1" x14ac:dyDescent="0.3">
      <c r="A39" s="4"/>
      <c r="B39" s="81" t="s">
        <v>356</v>
      </c>
      <c r="C39" s="81" t="s">
        <v>357</v>
      </c>
      <c r="D39" s="81" t="s">
        <v>358</v>
      </c>
      <c r="E39" s="81" t="s">
        <v>359</v>
      </c>
      <c r="F39" s="81" t="s">
        <v>360</v>
      </c>
      <c r="G39" s="81" t="s">
        <v>361</v>
      </c>
      <c r="H39" s="81" t="s">
        <v>362</v>
      </c>
      <c r="I39" s="4"/>
      <c r="J39" s="4"/>
      <c r="K39" s="4"/>
      <c r="L39" s="4"/>
      <c r="M39" s="4"/>
      <c r="N39" s="4"/>
      <c r="O39" s="5"/>
      <c r="P39" s="5"/>
      <c r="Q39" s="5"/>
      <c r="R39" s="5"/>
      <c r="S39" s="5"/>
      <c r="T39" s="5"/>
      <c r="U39" s="49"/>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row>
    <row r="40" spans="1:49" ht="13.2" customHeight="1" x14ac:dyDescent="0.3">
      <c r="A40" s="4"/>
      <c r="B40" s="57">
        <v>0</v>
      </c>
      <c r="C40" s="57">
        <v>0</v>
      </c>
      <c r="D40" s="97">
        <f>C40</f>
        <v>0</v>
      </c>
      <c r="E40" s="57">
        <v>0</v>
      </c>
      <c r="F40" s="57">
        <v>0</v>
      </c>
      <c r="G40" s="97">
        <f>H40</f>
        <v>0</v>
      </c>
      <c r="H40" s="57">
        <v>0</v>
      </c>
      <c r="I40" s="4"/>
      <c r="J40" s="4"/>
      <c r="K40" s="4"/>
      <c r="L40" s="4"/>
      <c r="M40" s="4"/>
      <c r="N40" s="4"/>
      <c r="O40" s="5"/>
      <c r="P40" s="5"/>
      <c r="Q40" s="5"/>
      <c r="R40" s="5"/>
      <c r="S40" s="5"/>
      <c r="T40" s="5"/>
      <c r="U40" s="49"/>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row>
    <row r="41" spans="1:49" ht="12.75" customHeight="1" x14ac:dyDescent="0.3">
      <c r="A41" s="4"/>
      <c r="B41" s="4"/>
      <c r="C41" s="4"/>
      <c r="D41" s="4"/>
      <c r="E41" s="4"/>
      <c r="F41" s="4"/>
      <c r="G41" s="4"/>
      <c r="H41" s="4"/>
      <c r="I41" s="4"/>
      <c r="J41" s="4"/>
      <c r="K41" s="4"/>
      <c r="L41" s="4"/>
      <c r="M41" s="4"/>
      <c r="N41" s="4"/>
      <c r="O41" s="5"/>
      <c r="P41" s="5"/>
      <c r="Q41" s="5"/>
      <c r="R41" s="5"/>
      <c r="S41" s="5"/>
      <c r="T41" s="5"/>
      <c r="U41" s="49"/>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row>
    <row r="42" spans="1:49" ht="12.75" customHeight="1" x14ac:dyDescent="0.3">
      <c r="A42" s="4"/>
      <c r="B42" s="58" t="s">
        <v>160</v>
      </c>
      <c r="C42" s="4"/>
      <c r="D42" s="4"/>
      <c r="E42" s="4"/>
      <c r="F42" s="4"/>
      <c r="G42" s="4"/>
      <c r="H42" s="4"/>
      <c r="I42" s="4"/>
      <c r="J42" s="58" t="s">
        <v>161</v>
      </c>
      <c r="K42" s="4"/>
      <c r="L42" s="4"/>
      <c r="M42" s="4"/>
      <c r="N42" s="4"/>
      <c r="O42" s="4"/>
      <c r="P42" s="5"/>
      <c r="Q42" s="5"/>
      <c r="R42" s="5"/>
      <c r="S42" s="5"/>
      <c r="T42" s="5"/>
      <c r="U42" s="49"/>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row>
    <row r="43" spans="1:49" ht="55.8" customHeight="1" x14ac:dyDescent="0.25">
      <c r="A43" s="4"/>
      <c r="B43" s="155" t="s">
        <v>430</v>
      </c>
      <c r="C43" s="155"/>
      <c r="D43" s="155"/>
      <c r="E43" s="155"/>
      <c r="F43" s="155"/>
      <c r="G43" s="155"/>
      <c r="H43" s="155"/>
      <c r="I43" s="4"/>
      <c r="J43" s="155" t="s">
        <v>467</v>
      </c>
      <c r="K43" s="155"/>
      <c r="L43" s="150" t="s">
        <v>468</v>
      </c>
      <c r="M43" s="150"/>
      <c r="N43" s="151" t="s">
        <v>472</v>
      </c>
      <c r="O43" s="151"/>
      <c r="P43" s="4"/>
      <c r="Q43" s="4"/>
      <c r="R43" s="4"/>
      <c r="S43" s="4"/>
      <c r="T43" s="4"/>
      <c r="U43" s="4"/>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row>
    <row r="44" spans="1:49" x14ac:dyDescent="0.25">
      <c r="A44" s="4"/>
      <c r="B44" s="149"/>
      <c r="C44" s="149"/>
      <c r="D44" s="149"/>
      <c r="E44" s="149"/>
      <c r="F44" s="149"/>
      <c r="G44" s="149"/>
      <c r="H44" s="149"/>
      <c r="I44" s="4"/>
      <c r="J44" s="149"/>
      <c r="K44" s="149"/>
      <c r="L44" s="149"/>
      <c r="M44" s="149"/>
      <c r="N44" s="149"/>
      <c r="O44" s="149"/>
      <c r="P44" s="4"/>
      <c r="Q44" s="4"/>
      <c r="R44" s="4"/>
      <c r="S44" s="4"/>
      <c r="T44" s="4"/>
      <c r="U44" s="4"/>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row>
    <row r="45" spans="1:49" x14ac:dyDescent="0.25">
      <c r="A45" s="4"/>
      <c r="B45" s="149"/>
      <c r="C45" s="149"/>
      <c r="D45" s="149"/>
      <c r="E45" s="149"/>
      <c r="F45" s="149"/>
      <c r="G45" s="149"/>
      <c r="H45" s="149"/>
      <c r="I45" s="4"/>
      <c r="J45" s="59"/>
      <c r="K45" s="4"/>
      <c r="L45" s="59"/>
      <c r="M45" s="4"/>
      <c r="N45" s="59"/>
      <c r="O45" s="132"/>
      <c r="P45" s="4"/>
      <c r="Q45" s="6"/>
      <c r="R45" s="6"/>
      <c r="S45" s="6"/>
      <c r="T45" s="6"/>
      <c r="U45" s="6"/>
      <c r="V45" s="6"/>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row>
    <row r="46" spans="1:49" x14ac:dyDescent="0.25">
      <c r="A46" s="4"/>
      <c r="B46" s="149"/>
      <c r="C46" s="149"/>
      <c r="D46" s="149"/>
      <c r="E46" s="149"/>
      <c r="F46" s="149"/>
      <c r="G46" s="149"/>
      <c r="H46" s="149"/>
      <c r="I46" s="4"/>
      <c r="J46" s="59"/>
      <c r="K46" s="4"/>
      <c r="L46" s="59"/>
      <c r="M46" s="4"/>
      <c r="N46" s="59"/>
      <c r="O46" s="132"/>
      <c r="P46" s="4"/>
      <c r="Q46" s="6"/>
      <c r="R46" s="6"/>
      <c r="S46" s="6"/>
      <c r="T46" s="6"/>
      <c r="U46" s="6"/>
      <c r="V46" s="6"/>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row>
    <row r="47" spans="1:49" x14ac:dyDescent="0.25">
      <c r="A47" s="4"/>
      <c r="B47" s="59"/>
      <c r="C47" s="4"/>
      <c r="D47" s="4"/>
      <c r="E47" s="4"/>
      <c r="F47" s="4"/>
      <c r="G47" s="4"/>
      <c r="H47" s="4"/>
      <c r="I47" s="4"/>
      <c r="J47" s="59"/>
      <c r="K47" s="4"/>
      <c r="L47" s="59"/>
      <c r="M47" s="4"/>
      <c r="N47" s="59"/>
      <c r="O47" s="4"/>
      <c r="P47" s="4"/>
      <c r="Q47" s="6"/>
      <c r="R47" s="6"/>
      <c r="S47" s="6"/>
      <c r="T47" s="6"/>
      <c r="U47" s="6"/>
      <c r="V47" s="6"/>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row>
    <row r="48" spans="1:49" x14ac:dyDescent="0.25">
      <c r="A48" s="4"/>
      <c r="B48" s="59"/>
      <c r="C48" s="4"/>
      <c r="D48" s="4"/>
      <c r="E48" s="4"/>
      <c r="F48" s="4"/>
      <c r="G48" s="4"/>
      <c r="H48" s="4"/>
      <c r="I48" s="4"/>
      <c r="J48" s="59"/>
      <c r="K48" s="4"/>
      <c r="L48" s="59"/>
      <c r="M48" s="4"/>
      <c r="N48" s="59"/>
      <c r="O48" s="4"/>
      <c r="P48" s="4"/>
      <c r="Q48" s="6"/>
      <c r="R48" s="6"/>
      <c r="S48" s="6"/>
      <c r="T48" s="6"/>
      <c r="U48" s="6"/>
      <c r="V48" s="6"/>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row>
    <row r="49" spans="1:49" x14ac:dyDescent="0.25">
      <c r="A49" s="4"/>
      <c r="B49" s="59"/>
      <c r="C49" s="4"/>
      <c r="D49" s="4"/>
      <c r="E49" s="4"/>
      <c r="F49" s="4"/>
      <c r="G49" s="4"/>
      <c r="H49" s="4"/>
      <c r="I49" s="4"/>
      <c r="J49" s="4"/>
      <c r="K49" s="4"/>
      <c r="L49" s="4"/>
      <c r="M49" s="4"/>
      <c r="N49" s="4"/>
      <c r="O49" s="4"/>
      <c r="P49" s="4"/>
      <c r="Q49" s="6"/>
      <c r="R49" s="6"/>
      <c r="S49" s="6"/>
      <c r="T49" s="6"/>
      <c r="U49" s="6"/>
      <c r="V49" s="6"/>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1:49" x14ac:dyDescent="0.25">
      <c r="A50" s="4"/>
      <c r="B50" s="59"/>
      <c r="C50" s="4"/>
      <c r="D50" s="4"/>
      <c r="E50" s="4"/>
      <c r="F50" s="4"/>
      <c r="G50" s="4"/>
      <c r="H50" s="4"/>
      <c r="I50" s="4"/>
      <c r="J50" s="4"/>
      <c r="K50" s="4"/>
      <c r="L50" s="4"/>
      <c r="M50" s="4"/>
      <c r="N50" s="4"/>
      <c r="O50" s="4"/>
      <c r="P50" s="4"/>
      <c r="Q50" s="6"/>
      <c r="R50" s="6"/>
      <c r="S50" s="6"/>
      <c r="T50" s="6"/>
      <c r="U50" s="6"/>
      <c r="V50" s="6"/>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49" x14ac:dyDescent="0.25">
      <c r="A51" s="4"/>
      <c r="B51" s="59"/>
      <c r="C51" s="4"/>
      <c r="D51" s="4"/>
      <c r="E51" s="4"/>
      <c r="F51" s="4"/>
      <c r="G51" s="4"/>
      <c r="H51" s="4"/>
      <c r="I51" s="4"/>
      <c r="J51" s="4"/>
      <c r="K51" s="4"/>
      <c r="L51" s="4"/>
      <c r="M51" s="4"/>
      <c r="N51" s="4"/>
      <c r="O51" s="4"/>
      <c r="P51" s="4"/>
      <c r="Q51" s="6"/>
      <c r="R51" s="6"/>
      <c r="S51" s="6"/>
      <c r="T51" s="6"/>
      <c r="U51" s="6"/>
      <c r="V51" s="6"/>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1:49" x14ac:dyDescent="0.25">
      <c r="A52" s="4"/>
      <c r="B52" s="59"/>
      <c r="C52" s="4"/>
      <c r="D52" s="4"/>
      <c r="E52" s="4"/>
      <c r="F52" s="4"/>
      <c r="G52" s="4"/>
      <c r="H52" s="4"/>
      <c r="I52" s="4"/>
      <c r="J52" s="4"/>
      <c r="K52" s="4"/>
      <c r="L52" s="4"/>
      <c r="M52" s="4"/>
      <c r="N52" s="4"/>
      <c r="O52" s="4"/>
      <c r="P52" s="4"/>
      <c r="Q52" s="6"/>
      <c r="R52" s="6"/>
      <c r="S52" s="6"/>
      <c r="T52" s="6"/>
      <c r="U52" s="6"/>
      <c r="V52" s="6"/>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1:49" x14ac:dyDescent="0.25">
      <c r="A53" s="4"/>
      <c r="B53" s="59"/>
      <c r="C53" s="4"/>
      <c r="D53" s="4"/>
      <c r="E53" s="4"/>
      <c r="F53" s="4"/>
      <c r="G53" s="4"/>
      <c r="H53" s="4"/>
      <c r="I53" s="4"/>
      <c r="J53" s="4"/>
      <c r="K53" s="4"/>
      <c r="L53" s="4"/>
      <c r="M53" s="4"/>
      <c r="N53" s="4"/>
      <c r="O53" s="4"/>
      <c r="P53" s="4"/>
      <c r="Q53" s="6"/>
      <c r="R53" s="6"/>
      <c r="S53" s="6"/>
      <c r="T53" s="6"/>
      <c r="U53" s="6"/>
      <c r="V53" s="6"/>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1:49" x14ac:dyDescent="0.25">
      <c r="A54" s="4"/>
      <c r="B54" s="58"/>
      <c r="C54" s="4"/>
      <c r="D54" s="4"/>
      <c r="E54" s="4"/>
      <c r="F54" s="4"/>
      <c r="G54" s="4"/>
      <c r="H54" s="4"/>
      <c r="I54" s="4"/>
      <c r="J54" s="4"/>
      <c r="K54" s="4"/>
      <c r="L54" s="4"/>
      <c r="M54" s="4"/>
      <c r="N54" s="4"/>
      <c r="O54" s="4"/>
      <c r="P54" s="4"/>
      <c r="Q54" s="6"/>
      <c r="R54" s="6"/>
      <c r="S54" s="6"/>
      <c r="T54" s="6"/>
      <c r="U54" s="6"/>
      <c r="V54" s="6"/>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25">
      <c r="A55" s="4"/>
      <c r="B55" s="4"/>
      <c r="C55" s="4"/>
      <c r="D55" s="4"/>
      <c r="E55" s="4"/>
      <c r="F55" s="4"/>
      <c r="G55" s="4"/>
      <c r="H55" s="4"/>
      <c r="I55" s="4"/>
      <c r="J55" s="4"/>
      <c r="K55" s="4"/>
      <c r="L55" s="4"/>
      <c r="M55" s="4"/>
      <c r="N55" s="4"/>
      <c r="O55" s="4"/>
      <c r="P55" s="4"/>
      <c r="Q55" s="6"/>
      <c r="R55" s="6"/>
      <c r="S55" s="6"/>
      <c r="T55" s="6"/>
      <c r="U55" s="6"/>
      <c r="V55" s="6"/>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25">
      <c r="A56" s="4"/>
      <c r="B56" s="59"/>
      <c r="C56" s="4"/>
      <c r="D56" s="4"/>
      <c r="E56" s="4"/>
      <c r="F56" s="4"/>
      <c r="G56" s="4"/>
      <c r="H56" s="4"/>
      <c r="I56" s="4"/>
      <c r="J56" s="4"/>
      <c r="K56" s="4"/>
      <c r="L56" s="4"/>
      <c r="M56" s="4"/>
      <c r="N56" s="4"/>
      <c r="O56" s="4"/>
      <c r="P56" s="4"/>
      <c r="Q56" s="6"/>
      <c r="R56" s="6"/>
      <c r="S56" s="6"/>
      <c r="T56" s="6"/>
      <c r="U56" s="6"/>
      <c r="V56" s="6"/>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25">
      <c r="A57" s="4"/>
      <c r="B57" s="59"/>
      <c r="C57" s="4"/>
      <c r="D57" s="4"/>
      <c r="E57" s="4"/>
      <c r="F57" s="4"/>
      <c r="G57" s="4"/>
      <c r="H57" s="4"/>
      <c r="I57" s="4"/>
      <c r="J57" s="4"/>
      <c r="K57" s="4"/>
      <c r="L57" s="4"/>
      <c r="M57" s="4"/>
      <c r="N57" s="4"/>
      <c r="O57" s="4"/>
      <c r="P57" s="4"/>
      <c r="Q57" s="6"/>
      <c r="R57" s="6"/>
      <c r="S57" s="6"/>
      <c r="T57" s="6"/>
      <c r="U57" s="6"/>
      <c r="V57" s="6"/>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25">
      <c r="A58" s="4"/>
      <c r="B58" s="59"/>
      <c r="C58" s="4"/>
      <c r="D58" s="4"/>
      <c r="E58" s="4"/>
      <c r="F58" s="4"/>
      <c r="G58" s="4"/>
      <c r="H58" s="4"/>
      <c r="I58" s="4"/>
      <c r="J58" s="4"/>
      <c r="K58" s="4"/>
      <c r="L58" s="4"/>
      <c r="M58" s="4"/>
      <c r="N58" s="4"/>
      <c r="O58" s="4"/>
      <c r="P58" s="4"/>
      <c r="Q58" s="6"/>
      <c r="R58" s="6"/>
      <c r="S58" s="6"/>
      <c r="T58" s="6"/>
      <c r="U58" s="6"/>
      <c r="V58" s="6"/>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25">
      <c r="A59" s="4"/>
      <c r="B59" s="59"/>
      <c r="C59" s="4"/>
      <c r="D59" s="4"/>
      <c r="E59" s="4"/>
      <c r="F59" s="4"/>
      <c r="G59" s="4"/>
      <c r="H59" s="4"/>
      <c r="I59" s="4"/>
      <c r="J59" s="4"/>
      <c r="K59" s="4"/>
      <c r="L59" s="4"/>
      <c r="M59" s="4"/>
      <c r="N59" s="4"/>
      <c r="O59" s="4"/>
      <c r="P59" s="4"/>
      <c r="Q59" s="6"/>
      <c r="R59" s="6"/>
      <c r="S59" s="6"/>
      <c r="T59" s="6"/>
      <c r="U59" s="6"/>
      <c r="V59" s="6"/>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25">
      <c r="A60" s="4"/>
      <c r="B60" s="59"/>
      <c r="C60" s="4"/>
      <c r="D60" s="4"/>
      <c r="E60" s="4"/>
      <c r="F60" s="4"/>
      <c r="G60" s="4"/>
      <c r="H60" s="4"/>
      <c r="I60" s="4"/>
      <c r="J60" s="4"/>
      <c r="K60" s="4"/>
      <c r="L60" s="4"/>
      <c r="M60" s="4"/>
      <c r="N60" s="4"/>
      <c r="O60" s="4"/>
      <c r="P60" s="4"/>
      <c r="Q60" s="6"/>
      <c r="R60" s="6"/>
      <c r="S60" s="6"/>
      <c r="T60" s="6"/>
      <c r="U60" s="6"/>
      <c r="V60" s="6"/>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25">
      <c r="A61" s="4"/>
      <c r="B61" s="59"/>
      <c r="C61" s="4"/>
      <c r="D61" s="4"/>
      <c r="E61" s="4"/>
      <c r="F61" s="4"/>
      <c r="G61" s="4"/>
      <c r="H61" s="4"/>
      <c r="I61" s="4"/>
      <c r="J61" s="4"/>
      <c r="K61" s="4"/>
      <c r="L61" s="4"/>
      <c r="M61" s="4"/>
      <c r="N61" s="4"/>
      <c r="O61" s="4"/>
      <c r="P61" s="4"/>
      <c r="Q61" s="6"/>
      <c r="R61" s="6"/>
      <c r="S61" s="6"/>
      <c r="T61" s="6"/>
      <c r="U61" s="6"/>
      <c r="V61" s="6"/>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25">
      <c r="A62" s="4"/>
      <c r="B62" s="59"/>
      <c r="C62" s="4"/>
      <c r="D62" s="4"/>
      <c r="E62" s="4"/>
      <c r="F62" s="4"/>
      <c r="G62" s="4"/>
      <c r="H62" s="4"/>
      <c r="I62" s="4"/>
      <c r="J62" s="4"/>
      <c r="K62" s="4"/>
      <c r="L62" s="4"/>
      <c r="M62" s="4"/>
      <c r="N62" s="4"/>
      <c r="O62" s="4"/>
      <c r="P62" s="4"/>
      <c r="Q62" s="6"/>
      <c r="R62" s="6"/>
      <c r="S62" s="6"/>
      <c r="T62" s="6"/>
      <c r="U62" s="6"/>
      <c r="V62" s="6"/>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25">
      <c r="A63" s="4"/>
      <c r="B63" s="58"/>
      <c r="C63" s="4"/>
      <c r="D63" s="4"/>
      <c r="E63" s="4"/>
      <c r="F63" s="4"/>
      <c r="G63" s="4"/>
      <c r="H63" s="4"/>
      <c r="I63" s="4"/>
      <c r="J63" s="4"/>
      <c r="K63" s="4"/>
      <c r="L63" s="4"/>
      <c r="M63" s="4"/>
      <c r="N63" s="4"/>
      <c r="O63" s="4"/>
      <c r="P63" s="4"/>
      <c r="Q63" s="6"/>
      <c r="R63" s="6"/>
      <c r="S63" s="6"/>
      <c r="T63" s="6"/>
      <c r="U63" s="6"/>
      <c r="V63" s="6"/>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25">
      <c r="A64" s="4"/>
      <c r="B64" s="59"/>
      <c r="C64" s="4"/>
      <c r="D64" s="59"/>
      <c r="E64" s="4"/>
      <c r="F64" s="59"/>
      <c r="G64" s="4"/>
      <c r="H64" s="4"/>
      <c r="I64" s="4"/>
      <c r="J64" s="4"/>
      <c r="K64" s="4"/>
      <c r="L64" s="4"/>
      <c r="M64" s="4"/>
      <c r="N64" s="4"/>
      <c r="O64" s="4"/>
      <c r="P64" s="4"/>
      <c r="Q64" s="6"/>
      <c r="R64" s="6"/>
      <c r="S64" s="6"/>
      <c r="T64" s="6"/>
      <c r="U64" s="6"/>
      <c r="V64" s="6"/>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25">
      <c r="A65" s="4"/>
      <c r="B65" s="59"/>
      <c r="C65" s="4"/>
      <c r="D65" s="59"/>
      <c r="E65" s="4"/>
      <c r="F65" s="59"/>
      <c r="G65" s="4"/>
      <c r="H65" s="4"/>
      <c r="I65" s="4"/>
      <c r="J65" s="4"/>
      <c r="K65" s="4"/>
      <c r="L65" s="4"/>
      <c r="M65" s="4"/>
      <c r="N65" s="4"/>
      <c r="O65" s="4"/>
      <c r="P65" s="4"/>
      <c r="Q65" s="6"/>
      <c r="R65" s="6"/>
      <c r="S65" s="6"/>
      <c r="T65" s="6"/>
      <c r="U65" s="6"/>
      <c r="V65" s="6"/>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25">
      <c r="A66" s="4"/>
      <c r="B66" s="59"/>
      <c r="C66" s="4"/>
      <c r="D66" s="4"/>
      <c r="E66" s="4"/>
      <c r="F66" s="4"/>
      <c r="G66" s="4"/>
      <c r="H66" s="4"/>
      <c r="I66" s="4"/>
      <c r="J66" s="4"/>
      <c r="K66" s="4"/>
      <c r="L66" s="4"/>
      <c r="M66" s="4"/>
      <c r="N66" s="4"/>
      <c r="O66" s="4"/>
      <c r="P66" s="4"/>
      <c r="Q66" s="6"/>
      <c r="R66" s="6"/>
      <c r="S66" s="6"/>
      <c r="T66" s="6"/>
      <c r="U66" s="6"/>
      <c r="V66" s="6"/>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x14ac:dyDescent="0.25">
      <c r="A67" s="4"/>
      <c r="B67" s="59"/>
      <c r="C67" s="4"/>
      <c r="D67" s="4"/>
      <c r="E67" s="4"/>
      <c r="F67" s="4"/>
      <c r="G67" s="4"/>
      <c r="H67" s="4"/>
      <c r="I67" s="4"/>
      <c r="J67" s="4"/>
      <c r="K67" s="4"/>
      <c r="L67" s="4"/>
      <c r="M67" s="4"/>
      <c r="N67" s="4"/>
      <c r="O67" s="4"/>
      <c r="P67" s="4"/>
      <c r="Q67" s="6"/>
      <c r="R67" s="6"/>
      <c r="S67" s="6"/>
      <c r="T67" s="6"/>
      <c r="U67" s="6"/>
      <c r="V67" s="6"/>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x14ac:dyDescent="0.25">
      <c r="A68" s="4"/>
      <c r="B68" s="59"/>
      <c r="C68" s="4"/>
      <c r="D68" s="4"/>
      <c r="E68" s="4"/>
      <c r="F68" s="4"/>
      <c r="G68" s="4"/>
      <c r="H68" s="4"/>
      <c r="I68" s="4"/>
      <c r="J68" s="4"/>
      <c r="K68" s="4"/>
      <c r="L68" s="4"/>
      <c r="M68" s="4"/>
      <c r="N68" s="4"/>
      <c r="O68" s="4"/>
      <c r="P68" s="4"/>
      <c r="Q68" s="6"/>
      <c r="R68" s="6"/>
      <c r="S68" s="6"/>
      <c r="T68" s="6"/>
      <c r="U68" s="6"/>
      <c r="V68" s="6"/>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x14ac:dyDescent="0.25">
      <c r="A69" s="4"/>
      <c r="B69" s="59"/>
      <c r="C69" s="4"/>
      <c r="D69" s="4"/>
      <c r="E69" s="4"/>
      <c r="F69" s="4"/>
      <c r="G69" s="4"/>
      <c r="H69" s="4"/>
      <c r="I69" s="4"/>
      <c r="J69" s="4"/>
      <c r="K69" s="4"/>
      <c r="L69" s="4"/>
      <c r="M69" s="4"/>
      <c r="N69" s="4"/>
      <c r="O69" s="4"/>
      <c r="P69" s="4"/>
      <c r="Q69" s="6"/>
      <c r="R69" s="6"/>
      <c r="S69" s="6"/>
      <c r="T69" s="6"/>
      <c r="U69" s="6"/>
      <c r="V69" s="6"/>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x14ac:dyDescent="0.25">
      <c r="A70" s="4"/>
      <c r="B70" s="59"/>
      <c r="C70" s="4"/>
      <c r="D70" s="4"/>
      <c r="E70" s="4"/>
      <c r="F70" s="4"/>
      <c r="G70" s="4"/>
      <c r="H70" s="4"/>
      <c r="I70" s="4"/>
      <c r="J70" s="4"/>
      <c r="K70" s="4"/>
      <c r="L70" s="4"/>
      <c r="M70" s="4"/>
      <c r="N70" s="4"/>
      <c r="O70" s="4"/>
      <c r="P70" s="4"/>
      <c r="Q70" s="6"/>
      <c r="R70" s="6"/>
      <c r="S70" s="6"/>
      <c r="T70" s="6"/>
      <c r="U70" s="6"/>
      <c r="V70" s="6"/>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x14ac:dyDescent="0.25">
      <c r="A71" s="4"/>
      <c r="B71" s="58"/>
      <c r="C71" s="4"/>
      <c r="D71" s="4"/>
      <c r="E71" s="4"/>
      <c r="F71" s="4"/>
      <c r="G71" s="4"/>
      <c r="H71" s="4"/>
      <c r="I71" s="4"/>
      <c r="J71" s="4"/>
      <c r="K71" s="4"/>
      <c r="L71" s="4"/>
      <c r="M71" s="4"/>
      <c r="N71" s="4"/>
      <c r="O71" s="4"/>
      <c r="P71" s="4"/>
      <c r="Q71" s="6"/>
      <c r="R71" s="6"/>
      <c r="S71" s="6"/>
      <c r="T71" s="6"/>
      <c r="U71" s="6"/>
      <c r="V71" s="6"/>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x14ac:dyDescent="0.25">
      <c r="A72" s="4"/>
      <c r="B72" s="59"/>
      <c r="C72" s="4"/>
      <c r="D72" s="4"/>
      <c r="E72" s="4"/>
      <c r="F72" s="4"/>
      <c r="G72" s="4"/>
      <c r="H72" s="4"/>
      <c r="I72" s="4"/>
      <c r="J72" s="4"/>
      <c r="K72" s="4"/>
      <c r="L72" s="4"/>
      <c r="M72" s="4"/>
      <c r="N72" s="4"/>
      <c r="O72" s="4"/>
      <c r="P72" s="4"/>
      <c r="Q72" s="6"/>
      <c r="R72" s="6"/>
      <c r="S72" s="6"/>
      <c r="T72" s="6"/>
      <c r="U72" s="6"/>
      <c r="V72" s="6"/>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x14ac:dyDescent="0.25">
      <c r="A73" s="4"/>
      <c r="B73" s="59"/>
      <c r="C73" s="4"/>
      <c r="D73" s="4"/>
      <c r="E73" s="4"/>
      <c r="F73" s="4"/>
      <c r="G73" s="4"/>
      <c r="H73" s="4"/>
      <c r="I73" s="4"/>
      <c r="J73" s="4"/>
      <c r="K73" s="4"/>
      <c r="L73" s="4"/>
      <c r="M73" s="4"/>
      <c r="N73" s="4"/>
      <c r="O73" s="4"/>
      <c r="P73" s="4"/>
      <c r="Q73" s="6"/>
      <c r="R73" s="6"/>
      <c r="S73" s="6"/>
      <c r="T73" s="6"/>
      <c r="U73" s="6"/>
      <c r="V73" s="6"/>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x14ac:dyDescent="0.25">
      <c r="A74" s="4"/>
      <c r="B74" s="59"/>
      <c r="C74" s="4"/>
      <c r="D74" s="4"/>
      <c r="E74" s="4"/>
      <c r="F74" s="4"/>
      <c r="G74" s="4"/>
      <c r="H74" s="4"/>
      <c r="I74" s="4"/>
      <c r="J74" s="4"/>
      <c r="K74" s="4"/>
      <c r="L74" s="4"/>
      <c r="M74" s="4"/>
      <c r="N74" s="4"/>
      <c r="O74" s="4"/>
      <c r="P74" s="4"/>
      <c r="Q74" s="6"/>
      <c r="R74" s="6"/>
      <c r="S74" s="6"/>
      <c r="T74" s="6"/>
      <c r="U74" s="6"/>
      <c r="V74" s="6"/>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x14ac:dyDescent="0.25">
      <c r="A75" s="4"/>
      <c r="B75" s="4"/>
      <c r="C75" s="4"/>
      <c r="D75" s="4"/>
      <c r="E75" s="4"/>
      <c r="F75" s="4"/>
      <c r="G75" s="4"/>
      <c r="H75" s="4"/>
      <c r="I75" s="4"/>
      <c r="J75" s="4"/>
      <c r="K75" s="4"/>
      <c r="L75" s="4"/>
      <c r="M75" s="4"/>
      <c r="N75" s="4"/>
      <c r="O75" s="4"/>
      <c r="P75" s="4"/>
      <c r="Q75" s="6"/>
      <c r="R75" s="6"/>
      <c r="S75" s="6"/>
      <c r="T75" s="6"/>
      <c r="U75" s="6"/>
      <c r="V75" s="6"/>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x14ac:dyDescent="0.25">
      <c r="A76" s="4"/>
      <c r="B76" s="59"/>
      <c r="C76" s="4"/>
      <c r="D76" s="4"/>
      <c r="E76" s="4"/>
      <c r="F76" s="4"/>
      <c r="G76" s="4"/>
      <c r="H76" s="4"/>
      <c r="I76" s="4"/>
      <c r="J76" s="4"/>
      <c r="K76" s="4"/>
      <c r="L76" s="4"/>
      <c r="M76" s="4"/>
      <c r="N76" s="4"/>
      <c r="O76" s="4"/>
      <c r="P76" s="4"/>
      <c r="Q76" s="6"/>
      <c r="R76" s="6"/>
      <c r="S76" s="6"/>
      <c r="T76" s="6"/>
      <c r="U76" s="6"/>
      <c r="V76" s="6"/>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x14ac:dyDescent="0.25">
      <c r="A77" s="4"/>
      <c r="B77" s="4"/>
      <c r="C77" s="4"/>
      <c r="D77" s="4"/>
      <c r="E77" s="4"/>
      <c r="F77" s="4"/>
      <c r="G77" s="4"/>
      <c r="H77" s="4"/>
      <c r="I77" s="4"/>
      <c r="J77" s="4"/>
      <c r="K77" s="4"/>
      <c r="L77" s="4"/>
      <c r="M77" s="4"/>
      <c r="N77" s="4"/>
      <c r="O77" s="4"/>
      <c r="P77" s="4"/>
      <c r="Q77" s="6"/>
      <c r="R77" s="6"/>
      <c r="S77" s="6"/>
      <c r="T77" s="6"/>
      <c r="U77" s="6"/>
      <c r="V77" s="6"/>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x14ac:dyDescent="0.25">
      <c r="A78" s="4"/>
      <c r="B78" s="4"/>
      <c r="C78" s="4"/>
      <c r="D78" s="4"/>
      <c r="E78" s="4"/>
      <c r="F78" s="4"/>
      <c r="G78" s="4"/>
      <c r="H78" s="4"/>
      <c r="I78" s="4"/>
      <c r="J78" s="4"/>
      <c r="K78" s="4"/>
      <c r="L78" s="4"/>
      <c r="M78" s="4"/>
      <c r="N78" s="4"/>
      <c r="O78" s="4"/>
      <c r="P78" s="4"/>
      <c r="Q78" s="6"/>
      <c r="R78" s="6"/>
      <c r="S78" s="6"/>
      <c r="T78" s="6"/>
      <c r="U78" s="6"/>
      <c r="V78" s="6"/>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row>
    <row r="86" spans="1:49"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row>
    <row r="87" spans="1:49"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row>
    <row r="88" spans="1:49"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row>
    <row r="89" spans="1:49"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row>
    <row r="90" spans="1:49"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row>
    <row r="91" spans="1:49"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row>
    <row r="92" spans="1:49"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row>
    <row r="93" spans="1:49"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row>
    <row r="94" spans="1:49"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row>
    <row r="95" spans="1:49"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row>
    <row r="96" spans="1:49"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row>
    <row r="97" spans="1:49"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row>
    <row r="98" spans="1:49"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row>
    <row r="99" spans="1:49"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row>
    <row r="100" spans="1:49"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row>
    <row r="101" spans="1:49"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row>
    <row r="102" spans="1:49"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row>
    <row r="103" spans="1:49"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row>
    <row r="104" spans="1:49"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row>
    <row r="105" spans="1:49"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row>
    <row r="106" spans="1:49"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row>
    <row r="107" spans="1:49"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row>
    <row r="108" spans="1:49"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row>
    <row r="109" spans="1:49"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row>
    <row r="110" spans="1:49"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row>
    <row r="111" spans="1:49"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row>
    <row r="112" spans="1:49"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row>
    <row r="113" spans="1:49"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row>
    <row r="114" spans="1:49"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row>
    <row r="115" spans="1:49"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row>
    <row r="116" spans="1:49"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row>
    <row r="117" spans="1:49"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row>
    <row r="118" spans="1:49"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row>
    <row r="119" spans="1:49"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row>
    <row r="120" spans="1:49"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row>
    <row r="121" spans="1:49"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row>
    <row r="122" spans="1:49"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row>
    <row r="123" spans="1:49"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row>
    <row r="124" spans="1:49"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row>
    <row r="125" spans="1:49"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row>
    <row r="126" spans="1:49"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row>
    <row r="127" spans="1:49"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row>
    <row r="128" spans="1:49"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row>
    <row r="129" spans="1:49"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row>
    <row r="130" spans="1:49"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row>
    <row r="131" spans="1:49"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row>
    <row r="132" spans="1:49"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row>
    <row r="133" spans="1:49"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row>
    <row r="134" spans="1:49"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row>
    <row r="135" spans="1:49"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row>
    <row r="136" spans="1:49"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row>
    <row r="137" spans="1:49"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row>
    <row r="138" spans="1:49"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row>
    <row r="139" spans="1:49"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row>
    <row r="140" spans="1:49"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row>
    <row r="141" spans="1:49"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row>
    <row r="142" spans="1:49"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row>
    <row r="143" spans="1:49"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row>
    <row r="144" spans="1:49"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row>
    <row r="145" spans="1:49"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row>
    <row r="146" spans="1:49"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row>
    <row r="147" spans="1:49"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row>
    <row r="148" spans="1:49"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row>
    <row r="149" spans="1:49"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row>
    <row r="150" spans="1:49"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row>
    <row r="151" spans="1:49"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row>
    <row r="152" spans="1:49"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row>
    <row r="153" spans="1:49"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row>
    <row r="154" spans="1:49"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row>
    <row r="155" spans="1:49"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row>
    <row r="156" spans="1:49"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row>
    <row r="157" spans="1:49"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row>
    <row r="158" spans="1:49"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row>
    <row r="159" spans="1:49"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row>
    <row r="160" spans="1:49"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row>
    <row r="161" spans="1:49"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row>
    <row r="162" spans="1:49"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row>
    <row r="165" spans="1:49"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row>
    <row r="166" spans="1:49"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row>
    <row r="167" spans="1:49"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row>
    <row r="168" spans="1:49"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row>
    <row r="169" spans="1:49"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row>
    <row r="170" spans="1:49"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row>
    <row r="171" spans="1:49"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row>
    <row r="172" spans="1:49"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row>
    <row r="173" spans="1:49"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row>
    <row r="174" spans="1:49"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row>
    <row r="175" spans="1:49"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row>
    <row r="176" spans="1:49"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row>
    <row r="177" spans="1:49"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row>
    <row r="178" spans="1:4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row>
    <row r="179" spans="1:49"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row>
    <row r="180" spans="1:49"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row>
    <row r="181" spans="1:49"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row>
    <row r="182" spans="1:49"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row>
    <row r="183" spans="1:49"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row>
    <row r="184" spans="1:49"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row>
    <row r="185" spans="1:49"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row>
    <row r="186" spans="1:49"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row>
    <row r="187" spans="1:49"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row>
    <row r="188" spans="1:49"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row>
    <row r="189" spans="1:49"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row>
    <row r="190" spans="1:49"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row>
    <row r="191" spans="1:49"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row>
    <row r="192" spans="1:49"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row>
    <row r="193" spans="1:49"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row>
    <row r="194" spans="1:49"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row>
    <row r="195" spans="1:49"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row>
    <row r="196" spans="1:49"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row>
    <row r="197" spans="1:49"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row>
    <row r="198" spans="1:49"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row>
    <row r="199" spans="1:49"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row>
    <row r="200" spans="1:49"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row>
    <row r="201" spans="1:49"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row>
    <row r="202" spans="1:49"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row>
    <row r="203" spans="1:49"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row>
    <row r="204" spans="1:49"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row>
    <row r="205" spans="1:49"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row>
    <row r="206" spans="1:49"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row>
    <row r="207" spans="1:49"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row>
    <row r="208" spans="1:49"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row>
    <row r="209" spans="1:49"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row>
    <row r="210" spans="1:49"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row>
    <row r="211" spans="1:49"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row>
  </sheetData>
  <sheetProtection algorithmName="SHA-512" hashValue="On69P283pOjZZrU2oJpEAxSnWkQ3fRBPyhLhqtlaz4Yo3x3W+GqwMsaYw0wp5y2xCLNAsEEVcC9TN12I814LEw==" saltValue="xdoyIG/zOl6DkTIE1HItrw==" spinCount="100000" sheet="1" objects="1" scenarios="1" selectLockedCells="1"/>
  <mergeCells count="22">
    <mergeCell ref="B2:O3"/>
    <mergeCell ref="K10:O10"/>
    <mergeCell ref="B14:D14"/>
    <mergeCell ref="B10:G10"/>
    <mergeCell ref="B30:H30"/>
    <mergeCell ref="B22:G22"/>
    <mergeCell ref="B26:G26"/>
    <mergeCell ref="B18:G18"/>
    <mergeCell ref="D13:F13"/>
    <mergeCell ref="E5:G5"/>
    <mergeCell ref="E7:G7"/>
    <mergeCell ref="E8:G8"/>
    <mergeCell ref="E6:G6"/>
    <mergeCell ref="B6:D6"/>
    <mergeCell ref="L43:M43"/>
    <mergeCell ref="N43:O43"/>
    <mergeCell ref="B5:D5"/>
    <mergeCell ref="B8:D8"/>
    <mergeCell ref="B7:D7"/>
    <mergeCell ref="B43:H43"/>
    <mergeCell ref="J43:K43"/>
    <mergeCell ref="B36:H36"/>
  </mergeCells>
  <phoneticPr fontId="21" type="noConversion"/>
  <conditionalFormatting sqref="E16">
    <cfRule type="cellIs" dxfId="7" priority="12" operator="notEqual">
      <formula>100</formula>
    </cfRule>
  </conditionalFormatting>
  <conditionalFormatting sqref="G28">
    <cfRule type="expression" dxfId="6" priority="6">
      <formula>$F$16="Nein"</formula>
    </cfRule>
    <cfRule type="expression" dxfId="5" priority="7">
      <formula>$F$16="Ja"</formula>
    </cfRule>
  </conditionalFormatting>
  <conditionalFormatting sqref="H12">
    <cfRule type="cellIs" dxfId="4" priority="16" operator="notEqual">
      <formula>100</formula>
    </cfRule>
  </conditionalFormatting>
  <conditionalFormatting sqref="H16">
    <cfRule type="cellIs" dxfId="3" priority="5" stopIfTrue="1" operator="equal">
      <formula>"Ok"</formula>
    </cfRule>
  </conditionalFormatting>
  <dataValidations count="12">
    <dataValidation type="decimal" allowBlank="1" showErrorMessage="1" errorTitle="Fehler" error="Nur Werte zwischen 70% und 100% zulässig." sqref="C16 C12" xr:uid="{772B5203-66CC-48AC-847D-E85986377FB5}">
      <formula1>70</formula1>
      <formula2>100</formula2>
    </dataValidation>
    <dataValidation type="decimal" allowBlank="1" showErrorMessage="1" errorTitle="Fehler" error="Nur Werte zwischen 2% und 30% zulässig." sqref="D16" xr:uid="{50BF1DDA-E30F-4A78-81F0-A699CC04A6D9}">
      <formula1>2</formula1>
      <formula2>30</formula2>
    </dataValidation>
    <dataValidation type="decimal" allowBlank="1" showErrorMessage="1" errorTitle="Fehler" error="Nur Werte zwischen 1% und 11% zulässig." sqref="B16 B12" xr:uid="{7C1BE725-8506-4A2F-BD82-15A0BD9EA704}">
      <formula1>1</formula1>
      <formula2>11</formula2>
    </dataValidation>
    <dataValidation type="whole" showErrorMessage="1" errorTitle="Fehler" error="Nur ganze Zahlen zwischen 15°C und 260°C zulässig." sqref="G28" xr:uid="{A4036135-2102-4B40-80FA-2F11C011D0F0}">
      <formula1>15</formula1>
      <formula2>260</formula2>
    </dataValidation>
    <dataValidation type="whole" allowBlank="1" showErrorMessage="1" errorTitle="Fehler" error="Nur ganze Zahlen zwischen 150°C und 360°C zulässig." sqref="C28" xr:uid="{71F907C5-5CFC-4656-A279-BB8536A32949}">
      <formula1>150</formula1>
      <formula2>360</formula2>
    </dataValidation>
    <dataValidation type="whole" allowBlank="1" showErrorMessage="1" errorTitle="Fehler" error="Nur ganze Zahlen zwischen 130°C und 190°C zulässig." sqref="B28" xr:uid="{B41138F8-8022-42B1-B1DE-ABCE34FF89DB}">
      <formula1>130</formula1>
      <formula2>190</formula2>
    </dataValidation>
    <dataValidation allowBlank="1" errorTitle="Fehler" error="Nur Entfernungen in 5km-Schritten zwischen 0km und 100km zulässig." sqref="D32 G32 G34 D34 D38 G38 G40 D40" xr:uid="{F50E2F59-06A7-419F-A41A-0CC82C0B7D54}"/>
    <dataValidation type="decimal" allowBlank="1" showErrorMessage="1" errorTitle="Fehler" error="Nur Werte zwischen 0% und 10% zulässig." sqref="F12" xr:uid="{FFF08EAD-061F-4146-AEB3-089813966520}">
      <formula1>0</formula1>
      <formula2>10</formula2>
    </dataValidation>
    <dataValidation type="decimal" allowBlank="1" showErrorMessage="1" errorTitle="Fehler" error="Nur Werte zwischen 0% und 30% zulässig." sqref="D12:E12" xr:uid="{F432E712-F394-4C2E-B246-631507805BE0}">
      <formula1>0</formula1>
      <formula2>30</formula2>
    </dataValidation>
    <dataValidation allowBlank="1" errorTitle="Fehler" error="Nur Werte zwischen 0% und 8% zulässig." sqref="B20 D20:F20" xr:uid="{905FA51A-35F4-42A4-8382-B0BC431C182F}"/>
    <dataValidation type="decimal" allowBlank="1" showErrorMessage="1" errorTitle="Fehler" error="Nur Werte zwischen 2 und 3 Mg/m³ zulässig." sqref="N17" xr:uid="{71D39EB1-A891-41F2-8799-B5F5046532BC}">
      <formula1>2</formula1>
      <formula2>3</formula2>
    </dataValidation>
    <dataValidation type="textLength" allowBlank="1" showErrorMessage="1" errorTitle="Fehler" error="Maximal 69 Zeichen zulässig." sqref="E5:G8" xr:uid="{B45222CA-105D-448D-945A-3F277F1E8F79}">
      <formula1>0</formula1>
      <formula2>69</formula2>
    </dataValidation>
  </dataValidations>
  <pageMargins left="0.7" right="0.7" top="0.78740157499999996" bottom="0.78740157499999996"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14A5EED8-A575-4946-AF97-747FAB8FBFBF}">
            <xm:f>berechnung!$C$37&lt;0</xm:f>
            <x14:dxf>
              <fill>
                <patternFill>
                  <bgColor rgb="FFC00000"/>
                </patternFill>
              </fill>
            </x14:dxf>
          </x14:cfRule>
          <xm:sqref>B12 B16 H16</xm:sqref>
        </x14:conditionalFormatting>
        <x14:conditionalFormatting xmlns:xm="http://schemas.microsoft.com/office/excel/2006/main">
          <x14:cfRule type="expression" priority="3" id="{322AFB03-F0E1-44EF-A2FE-754A599545A2}">
            <xm:f>berechnung!$C$38&lt;0</xm:f>
            <x14:dxf>
              <fill>
                <patternFill>
                  <bgColor rgb="FFC00000"/>
                </patternFill>
              </fill>
            </x14:dxf>
          </x14:cfRule>
          <xm:sqref>C12 C16 H16</xm:sqref>
        </x14:conditionalFormatting>
        <x14:conditionalFormatting xmlns:xm="http://schemas.microsoft.com/office/excel/2006/main">
          <x14:cfRule type="expression" priority="20" id="{823B73F4-FB62-43C3-876C-DD2DF4C8E77B}">
            <xm:f>berechnung!$C$36&lt;0</xm:f>
            <x14:dxf>
              <fill>
                <patternFill>
                  <bgColor rgb="FFC00000"/>
                </patternFill>
              </fill>
            </x14:dxf>
          </x14:cfRule>
          <xm:sqref>G16:H16 D12 D16</xm:sqref>
        </x14:conditionalFormatting>
      </x14:conditionalFormattings>
    </ext>
    <ext xmlns:x14="http://schemas.microsoft.com/office/spreadsheetml/2009/9/main" uri="{CCE6A557-97BC-4b89-ADB6-D9C93CAAB3DF}">
      <x14:dataValidations xmlns:xm="http://schemas.microsoft.com/office/excel/2006/main" count="7">
        <x14:dataValidation type="list" showErrorMessage="1" errorTitle="Fehler" error="Nur Auswahl 1,5% oder 5,0% zulässig." xr:uid="{56B3660A-03B3-4714-AB8C-E5E49ACB8A8E}">
          <x14:formula1>
            <xm:f>eingabefelder!$F$2:$F$3</xm:f>
          </x14:formula1>
          <xm:sqref>G20</xm:sqref>
        </x14:dataValidation>
        <x14:dataValidation type="list" allowBlank="1" showErrorMessage="1" errorTitle="Fehler" error="Nur Anteile in 5%-Schritten zwischen 0 und 75% zulässig." xr:uid="{5C2FED57-108C-420A-A59A-4C4AA846CF70}">
          <x14:formula1>
            <xm:f>eingabefelder!$A$2:$A$17</xm:f>
          </x14:formula1>
          <xm:sqref>G16</xm:sqref>
        </x14:dataValidation>
        <x14:dataValidation type="list" allowBlank="1" showErrorMessage="1" errorTitle="Fehler" error="Nur Auswahl Ja oder Nein zulässig." xr:uid="{AB49F72A-0BDD-42E7-AF65-09C7D4ABCABC}">
          <x14:formula1>
            <xm:f>eingabefelder!$B$2:$B$3</xm:f>
          </x14:formula1>
          <xm:sqref>G12</xm:sqref>
        </x14:dataValidation>
        <x14:dataValidation type="list" allowBlank="1" showErrorMessage="1" errorTitle="Fehler" error="Nur Entfernungen in 5km-Schritten zwischen 0km und 100km zulässig." xr:uid="{BE393F4B-13F7-43F0-8884-2C529B2C141C}">
          <x14:formula1>
            <xm:f>eingabefelder!$D$2:$D$202</xm:f>
          </x14:formula1>
          <xm:sqref>E32:F32 H32 B32:C32 H34 B34:C34 E34:F34 E38:F38 H38 B38:C38 H40 B40:C40 E40:F40</xm:sqref>
        </x14:dataValidation>
        <x14:dataValidation type="list" allowBlank="1" showErrorMessage="1" errorTitle="Fehler" error="Nur Energieträger gemäß Liste zulässig." xr:uid="{A8E652D6-CCCB-4028-8A32-3C26C83C57A4}">
          <x14:formula1>
            <xm:f>eingabefelder!$C$2:$C$5</xm:f>
          </x14:formula1>
          <xm:sqref>H24</xm:sqref>
        </x14:dataValidation>
        <x14:dataValidation type="list" allowBlank="1" errorTitle="Fehler" error="Nur Werte zwischen 1% und 11% zulässig." xr:uid="{DCBDD915-0844-4CBA-9EAB-9B8ABA0C3050}">
          <x14:formula1>
            <xm:f>eingabefelder!$B$2:$B$3</xm:f>
          </x14:formula1>
          <xm:sqref>G12</xm:sqref>
        </x14:dataValidation>
        <x14:dataValidation type="list" showErrorMessage="1" errorTitle="Fehler" error="Nur Auswahl 1,5%, 2,5% oder 5,0% zulässig." xr:uid="{06070D4D-1DFD-4816-8FAC-5676B74BB92B}">
          <x14:formula1>
            <xm:f>eingabefelder!$E$2:$E$4</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4249-5FB1-4A54-A4D3-5C881516D917}">
  <sheetPr codeName="Tabelle3"/>
  <dimension ref="A1:F202"/>
  <sheetViews>
    <sheetView workbookViewId="0">
      <selection activeCell="F4" sqref="F4"/>
    </sheetView>
  </sheetViews>
  <sheetFormatPr baseColWidth="10" defaultRowHeight="14.4" x14ac:dyDescent="0.3"/>
  <cols>
    <col min="5" max="5" width="25.6640625" bestFit="1" customWidth="1"/>
    <col min="6" max="6" width="21.44140625" bestFit="1" customWidth="1"/>
  </cols>
  <sheetData>
    <row r="1" spans="1:6" x14ac:dyDescent="0.3">
      <c r="A1" t="s">
        <v>274</v>
      </c>
      <c r="B1" t="s">
        <v>42</v>
      </c>
      <c r="C1" t="s">
        <v>40</v>
      </c>
      <c r="D1" t="s">
        <v>20</v>
      </c>
      <c r="E1" t="s">
        <v>436</v>
      </c>
      <c r="F1" t="s">
        <v>274</v>
      </c>
    </row>
    <row r="2" spans="1:6" x14ac:dyDescent="0.3">
      <c r="A2">
        <v>0</v>
      </c>
      <c r="B2" t="s">
        <v>164</v>
      </c>
      <c r="C2" t="s">
        <v>55</v>
      </c>
      <c r="D2">
        <v>0</v>
      </c>
      <c r="E2" t="s">
        <v>443</v>
      </c>
      <c r="F2" t="s">
        <v>446</v>
      </c>
    </row>
    <row r="3" spans="1:6" x14ac:dyDescent="0.3">
      <c r="A3">
        <v>5</v>
      </c>
      <c r="B3" t="s">
        <v>165</v>
      </c>
      <c r="C3" t="s">
        <v>166</v>
      </c>
      <c r="D3">
        <v>5</v>
      </c>
      <c r="E3" t="s">
        <v>444</v>
      </c>
      <c r="F3" t="s">
        <v>447</v>
      </c>
    </row>
    <row r="4" spans="1:6" x14ac:dyDescent="0.3">
      <c r="A4">
        <v>10</v>
      </c>
      <c r="C4" t="s">
        <v>178</v>
      </c>
      <c r="D4">
        <v>10</v>
      </c>
      <c r="E4" t="s">
        <v>445</v>
      </c>
    </row>
    <row r="5" spans="1:6" x14ac:dyDescent="0.3">
      <c r="A5">
        <v>15</v>
      </c>
      <c r="C5" t="s">
        <v>56</v>
      </c>
      <c r="D5">
        <v>15</v>
      </c>
    </row>
    <row r="6" spans="1:6" x14ac:dyDescent="0.3">
      <c r="A6">
        <v>20</v>
      </c>
      <c r="D6">
        <v>20</v>
      </c>
    </row>
    <row r="7" spans="1:6" x14ac:dyDescent="0.3">
      <c r="A7">
        <v>25</v>
      </c>
      <c r="D7">
        <v>25</v>
      </c>
    </row>
    <row r="8" spans="1:6" x14ac:dyDescent="0.3">
      <c r="A8">
        <v>30</v>
      </c>
      <c r="D8">
        <v>30</v>
      </c>
    </row>
    <row r="9" spans="1:6" x14ac:dyDescent="0.3">
      <c r="A9">
        <v>35</v>
      </c>
      <c r="D9">
        <v>35</v>
      </c>
    </row>
    <row r="10" spans="1:6" x14ac:dyDescent="0.3">
      <c r="A10">
        <v>40</v>
      </c>
      <c r="D10">
        <v>40</v>
      </c>
    </row>
    <row r="11" spans="1:6" x14ac:dyDescent="0.3">
      <c r="A11">
        <v>45</v>
      </c>
      <c r="D11">
        <v>45</v>
      </c>
    </row>
    <row r="12" spans="1:6" x14ac:dyDescent="0.3">
      <c r="A12">
        <v>50</v>
      </c>
      <c r="D12">
        <v>50</v>
      </c>
    </row>
    <row r="13" spans="1:6" x14ac:dyDescent="0.3">
      <c r="A13">
        <v>55</v>
      </c>
      <c r="D13">
        <v>55</v>
      </c>
    </row>
    <row r="14" spans="1:6" x14ac:dyDescent="0.3">
      <c r="A14">
        <v>60</v>
      </c>
      <c r="D14">
        <v>60</v>
      </c>
    </row>
    <row r="15" spans="1:6" x14ac:dyDescent="0.3">
      <c r="A15">
        <v>65</v>
      </c>
      <c r="D15">
        <v>65</v>
      </c>
    </row>
    <row r="16" spans="1:6" x14ac:dyDescent="0.3">
      <c r="A16">
        <v>70</v>
      </c>
      <c r="D16">
        <v>70</v>
      </c>
    </row>
    <row r="17" spans="1:4" x14ac:dyDescent="0.3">
      <c r="A17">
        <v>75</v>
      </c>
      <c r="D17">
        <v>75</v>
      </c>
    </row>
    <row r="18" spans="1:4" x14ac:dyDescent="0.3">
      <c r="D18">
        <v>80</v>
      </c>
    </row>
    <row r="19" spans="1:4" x14ac:dyDescent="0.3">
      <c r="D19">
        <v>85</v>
      </c>
    </row>
    <row r="20" spans="1:4" x14ac:dyDescent="0.3">
      <c r="D20">
        <v>90</v>
      </c>
    </row>
    <row r="21" spans="1:4" x14ac:dyDescent="0.3">
      <c r="D21">
        <v>95</v>
      </c>
    </row>
    <row r="22" spans="1:4" x14ac:dyDescent="0.3">
      <c r="D22">
        <v>100</v>
      </c>
    </row>
    <row r="23" spans="1:4" x14ac:dyDescent="0.3">
      <c r="D23">
        <v>105</v>
      </c>
    </row>
    <row r="24" spans="1:4" x14ac:dyDescent="0.3">
      <c r="D24">
        <v>110</v>
      </c>
    </row>
    <row r="25" spans="1:4" x14ac:dyDescent="0.3">
      <c r="D25">
        <v>115</v>
      </c>
    </row>
    <row r="26" spans="1:4" x14ac:dyDescent="0.3">
      <c r="D26">
        <v>120</v>
      </c>
    </row>
    <row r="27" spans="1:4" x14ac:dyDescent="0.3">
      <c r="D27">
        <v>125</v>
      </c>
    </row>
    <row r="28" spans="1:4" x14ac:dyDescent="0.3">
      <c r="D28">
        <v>130</v>
      </c>
    </row>
    <row r="29" spans="1:4" x14ac:dyDescent="0.3">
      <c r="D29">
        <v>135</v>
      </c>
    </row>
    <row r="30" spans="1:4" x14ac:dyDescent="0.3">
      <c r="D30">
        <v>140</v>
      </c>
    </row>
    <row r="31" spans="1:4" x14ac:dyDescent="0.3">
      <c r="D31">
        <v>145</v>
      </c>
    </row>
    <row r="32" spans="1:4" x14ac:dyDescent="0.3">
      <c r="D32">
        <v>150</v>
      </c>
    </row>
    <row r="33" spans="4:4" x14ac:dyDescent="0.3">
      <c r="D33">
        <v>155</v>
      </c>
    </row>
    <row r="34" spans="4:4" x14ac:dyDescent="0.3">
      <c r="D34">
        <v>160</v>
      </c>
    </row>
    <row r="35" spans="4:4" x14ac:dyDescent="0.3">
      <c r="D35">
        <v>165</v>
      </c>
    </row>
    <row r="36" spans="4:4" x14ac:dyDescent="0.3">
      <c r="D36">
        <v>170</v>
      </c>
    </row>
    <row r="37" spans="4:4" x14ac:dyDescent="0.3">
      <c r="D37">
        <v>175</v>
      </c>
    </row>
    <row r="38" spans="4:4" x14ac:dyDescent="0.3">
      <c r="D38">
        <v>180</v>
      </c>
    </row>
    <row r="39" spans="4:4" x14ac:dyDescent="0.3">
      <c r="D39">
        <v>185</v>
      </c>
    </row>
    <row r="40" spans="4:4" x14ac:dyDescent="0.3">
      <c r="D40">
        <v>190</v>
      </c>
    </row>
    <row r="41" spans="4:4" x14ac:dyDescent="0.3">
      <c r="D41">
        <v>195</v>
      </c>
    </row>
    <row r="42" spans="4:4" x14ac:dyDescent="0.3">
      <c r="D42">
        <v>200</v>
      </c>
    </row>
    <row r="43" spans="4:4" x14ac:dyDescent="0.3">
      <c r="D43">
        <v>205</v>
      </c>
    </row>
    <row r="44" spans="4:4" x14ac:dyDescent="0.3">
      <c r="D44">
        <v>210</v>
      </c>
    </row>
    <row r="45" spans="4:4" x14ac:dyDescent="0.3">
      <c r="D45">
        <v>215</v>
      </c>
    </row>
    <row r="46" spans="4:4" x14ac:dyDescent="0.3">
      <c r="D46">
        <v>220</v>
      </c>
    </row>
    <row r="47" spans="4:4" x14ac:dyDescent="0.3">
      <c r="D47">
        <v>225</v>
      </c>
    </row>
    <row r="48" spans="4:4" x14ac:dyDescent="0.3">
      <c r="D48">
        <v>230</v>
      </c>
    </row>
    <row r="49" spans="4:4" x14ac:dyDescent="0.3">
      <c r="D49">
        <v>235</v>
      </c>
    </row>
    <row r="50" spans="4:4" x14ac:dyDescent="0.3">
      <c r="D50">
        <v>240</v>
      </c>
    </row>
    <row r="51" spans="4:4" x14ac:dyDescent="0.3">
      <c r="D51">
        <v>245</v>
      </c>
    </row>
    <row r="52" spans="4:4" x14ac:dyDescent="0.3">
      <c r="D52">
        <v>250</v>
      </c>
    </row>
    <row r="53" spans="4:4" x14ac:dyDescent="0.3">
      <c r="D53">
        <v>255</v>
      </c>
    </row>
    <row r="54" spans="4:4" x14ac:dyDescent="0.3">
      <c r="D54">
        <v>260</v>
      </c>
    </row>
    <row r="55" spans="4:4" x14ac:dyDescent="0.3">
      <c r="D55">
        <v>265</v>
      </c>
    </row>
    <row r="56" spans="4:4" x14ac:dyDescent="0.3">
      <c r="D56">
        <v>270</v>
      </c>
    </row>
    <row r="57" spans="4:4" x14ac:dyDescent="0.3">
      <c r="D57">
        <v>275</v>
      </c>
    </row>
    <row r="58" spans="4:4" x14ac:dyDescent="0.3">
      <c r="D58">
        <v>280</v>
      </c>
    </row>
    <row r="59" spans="4:4" x14ac:dyDescent="0.3">
      <c r="D59">
        <v>285</v>
      </c>
    </row>
    <row r="60" spans="4:4" x14ac:dyDescent="0.3">
      <c r="D60">
        <v>290</v>
      </c>
    </row>
    <row r="61" spans="4:4" x14ac:dyDescent="0.3">
      <c r="D61">
        <v>295</v>
      </c>
    </row>
    <row r="62" spans="4:4" x14ac:dyDescent="0.3">
      <c r="D62">
        <v>300</v>
      </c>
    </row>
    <row r="63" spans="4:4" x14ac:dyDescent="0.3">
      <c r="D63">
        <v>305</v>
      </c>
    </row>
    <row r="64" spans="4:4" x14ac:dyDescent="0.3">
      <c r="D64">
        <v>310</v>
      </c>
    </row>
    <row r="65" spans="4:4" x14ac:dyDescent="0.3">
      <c r="D65">
        <v>315</v>
      </c>
    </row>
    <row r="66" spans="4:4" x14ac:dyDescent="0.3">
      <c r="D66">
        <v>320</v>
      </c>
    </row>
    <row r="67" spans="4:4" x14ac:dyDescent="0.3">
      <c r="D67">
        <v>325</v>
      </c>
    </row>
    <row r="68" spans="4:4" x14ac:dyDescent="0.3">
      <c r="D68">
        <v>330</v>
      </c>
    </row>
    <row r="69" spans="4:4" x14ac:dyDescent="0.3">
      <c r="D69">
        <v>335</v>
      </c>
    </row>
    <row r="70" spans="4:4" x14ac:dyDescent="0.3">
      <c r="D70">
        <v>340</v>
      </c>
    </row>
    <row r="71" spans="4:4" x14ac:dyDescent="0.3">
      <c r="D71">
        <v>345</v>
      </c>
    </row>
    <row r="72" spans="4:4" x14ac:dyDescent="0.3">
      <c r="D72">
        <v>350</v>
      </c>
    </row>
    <row r="73" spans="4:4" x14ac:dyDescent="0.3">
      <c r="D73">
        <v>355</v>
      </c>
    </row>
    <row r="74" spans="4:4" x14ac:dyDescent="0.3">
      <c r="D74">
        <v>360</v>
      </c>
    </row>
    <row r="75" spans="4:4" x14ac:dyDescent="0.3">
      <c r="D75">
        <v>365</v>
      </c>
    </row>
    <row r="76" spans="4:4" x14ac:dyDescent="0.3">
      <c r="D76">
        <v>370</v>
      </c>
    </row>
    <row r="77" spans="4:4" x14ac:dyDescent="0.3">
      <c r="D77">
        <v>375</v>
      </c>
    </row>
    <row r="78" spans="4:4" x14ac:dyDescent="0.3">
      <c r="D78">
        <v>380</v>
      </c>
    </row>
    <row r="79" spans="4:4" x14ac:dyDescent="0.3">
      <c r="D79">
        <v>385</v>
      </c>
    </row>
    <row r="80" spans="4:4" x14ac:dyDescent="0.3">
      <c r="D80">
        <v>390</v>
      </c>
    </row>
    <row r="81" spans="4:4" x14ac:dyDescent="0.3">
      <c r="D81">
        <v>395</v>
      </c>
    </row>
    <row r="82" spans="4:4" x14ac:dyDescent="0.3">
      <c r="D82">
        <v>400</v>
      </c>
    </row>
    <row r="83" spans="4:4" x14ac:dyDescent="0.3">
      <c r="D83">
        <v>405</v>
      </c>
    </row>
    <row r="84" spans="4:4" x14ac:dyDescent="0.3">
      <c r="D84">
        <v>410</v>
      </c>
    </row>
    <row r="85" spans="4:4" x14ac:dyDescent="0.3">
      <c r="D85">
        <v>415</v>
      </c>
    </row>
    <row r="86" spans="4:4" x14ac:dyDescent="0.3">
      <c r="D86">
        <v>420</v>
      </c>
    </row>
    <row r="87" spans="4:4" x14ac:dyDescent="0.3">
      <c r="D87">
        <v>425</v>
      </c>
    </row>
    <row r="88" spans="4:4" x14ac:dyDescent="0.3">
      <c r="D88">
        <v>430</v>
      </c>
    </row>
    <row r="89" spans="4:4" x14ac:dyDescent="0.3">
      <c r="D89">
        <v>435</v>
      </c>
    </row>
    <row r="90" spans="4:4" x14ac:dyDescent="0.3">
      <c r="D90">
        <v>440</v>
      </c>
    </row>
    <row r="91" spans="4:4" x14ac:dyDescent="0.3">
      <c r="D91">
        <v>445</v>
      </c>
    </row>
    <row r="92" spans="4:4" x14ac:dyDescent="0.3">
      <c r="D92">
        <v>450</v>
      </c>
    </row>
    <row r="93" spans="4:4" x14ac:dyDescent="0.3">
      <c r="D93">
        <v>455</v>
      </c>
    </row>
    <row r="94" spans="4:4" x14ac:dyDescent="0.3">
      <c r="D94">
        <v>460</v>
      </c>
    </row>
    <row r="95" spans="4:4" x14ac:dyDescent="0.3">
      <c r="D95">
        <v>465</v>
      </c>
    </row>
    <row r="96" spans="4:4" x14ac:dyDescent="0.3">
      <c r="D96">
        <v>470</v>
      </c>
    </row>
    <row r="97" spans="4:4" x14ac:dyDescent="0.3">
      <c r="D97">
        <v>475</v>
      </c>
    </row>
    <row r="98" spans="4:4" x14ac:dyDescent="0.3">
      <c r="D98">
        <v>480</v>
      </c>
    </row>
    <row r="99" spans="4:4" x14ac:dyDescent="0.3">
      <c r="D99">
        <v>485</v>
      </c>
    </row>
    <row r="100" spans="4:4" x14ac:dyDescent="0.3">
      <c r="D100">
        <v>490</v>
      </c>
    </row>
    <row r="101" spans="4:4" x14ac:dyDescent="0.3">
      <c r="D101">
        <v>495</v>
      </c>
    </row>
    <row r="102" spans="4:4" x14ac:dyDescent="0.3">
      <c r="D102">
        <v>500</v>
      </c>
    </row>
    <row r="103" spans="4:4" x14ac:dyDescent="0.3">
      <c r="D103">
        <v>505</v>
      </c>
    </row>
    <row r="104" spans="4:4" x14ac:dyDescent="0.3">
      <c r="D104">
        <v>510</v>
      </c>
    </row>
    <row r="105" spans="4:4" x14ac:dyDescent="0.3">
      <c r="D105">
        <v>515</v>
      </c>
    </row>
    <row r="106" spans="4:4" x14ac:dyDescent="0.3">
      <c r="D106">
        <v>520</v>
      </c>
    </row>
    <row r="107" spans="4:4" x14ac:dyDescent="0.3">
      <c r="D107">
        <v>525</v>
      </c>
    </row>
    <row r="108" spans="4:4" x14ac:dyDescent="0.3">
      <c r="D108">
        <v>530</v>
      </c>
    </row>
    <row r="109" spans="4:4" x14ac:dyDescent="0.3">
      <c r="D109">
        <v>535</v>
      </c>
    </row>
    <row r="110" spans="4:4" x14ac:dyDescent="0.3">
      <c r="D110">
        <v>540</v>
      </c>
    </row>
    <row r="111" spans="4:4" x14ac:dyDescent="0.3">
      <c r="D111">
        <v>545</v>
      </c>
    </row>
    <row r="112" spans="4:4" x14ac:dyDescent="0.3">
      <c r="D112">
        <v>550</v>
      </c>
    </row>
    <row r="113" spans="4:4" x14ac:dyDescent="0.3">
      <c r="D113">
        <v>555</v>
      </c>
    </row>
    <row r="114" spans="4:4" x14ac:dyDescent="0.3">
      <c r="D114">
        <v>560</v>
      </c>
    </row>
    <row r="115" spans="4:4" x14ac:dyDescent="0.3">
      <c r="D115">
        <v>565</v>
      </c>
    </row>
    <row r="116" spans="4:4" x14ac:dyDescent="0.3">
      <c r="D116">
        <v>570</v>
      </c>
    </row>
    <row r="117" spans="4:4" x14ac:dyDescent="0.3">
      <c r="D117">
        <v>575</v>
      </c>
    </row>
    <row r="118" spans="4:4" x14ac:dyDescent="0.3">
      <c r="D118">
        <v>580</v>
      </c>
    </row>
    <row r="119" spans="4:4" x14ac:dyDescent="0.3">
      <c r="D119">
        <v>585</v>
      </c>
    </row>
    <row r="120" spans="4:4" x14ac:dyDescent="0.3">
      <c r="D120">
        <v>590</v>
      </c>
    </row>
    <row r="121" spans="4:4" x14ac:dyDescent="0.3">
      <c r="D121">
        <v>595</v>
      </c>
    </row>
    <row r="122" spans="4:4" x14ac:dyDescent="0.3">
      <c r="D122">
        <v>600</v>
      </c>
    </row>
    <row r="123" spans="4:4" x14ac:dyDescent="0.3">
      <c r="D123">
        <v>605</v>
      </c>
    </row>
    <row r="124" spans="4:4" x14ac:dyDescent="0.3">
      <c r="D124">
        <v>610</v>
      </c>
    </row>
    <row r="125" spans="4:4" x14ac:dyDescent="0.3">
      <c r="D125">
        <v>615</v>
      </c>
    </row>
    <row r="126" spans="4:4" x14ac:dyDescent="0.3">
      <c r="D126">
        <v>620</v>
      </c>
    </row>
    <row r="127" spans="4:4" x14ac:dyDescent="0.3">
      <c r="D127">
        <v>625</v>
      </c>
    </row>
    <row r="128" spans="4:4" x14ac:dyDescent="0.3">
      <c r="D128">
        <v>630</v>
      </c>
    </row>
    <row r="129" spans="4:4" x14ac:dyDescent="0.3">
      <c r="D129">
        <v>635</v>
      </c>
    </row>
    <row r="130" spans="4:4" x14ac:dyDescent="0.3">
      <c r="D130">
        <v>640</v>
      </c>
    </row>
    <row r="131" spans="4:4" x14ac:dyDescent="0.3">
      <c r="D131">
        <v>645</v>
      </c>
    </row>
    <row r="132" spans="4:4" x14ac:dyDescent="0.3">
      <c r="D132">
        <v>650</v>
      </c>
    </row>
    <row r="133" spans="4:4" x14ac:dyDescent="0.3">
      <c r="D133">
        <v>655</v>
      </c>
    </row>
    <row r="134" spans="4:4" x14ac:dyDescent="0.3">
      <c r="D134">
        <v>660</v>
      </c>
    </row>
    <row r="135" spans="4:4" x14ac:dyDescent="0.3">
      <c r="D135">
        <v>665</v>
      </c>
    </row>
    <row r="136" spans="4:4" x14ac:dyDescent="0.3">
      <c r="D136">
        <v>670</v>
      </c>
    </row>
    <row r="137" spans="4:4" x14ac:dyDescent="0.3">
      <c r="D137">
        <v>675</v>
      </c>
    </row>
    <row r="138" spans="4:4" x14ac:dyDescent="0.3">
      <c r="D138">
        <v>680</v>
      </c>
    </row>
    <row r="139" spans="4:4" x14ac:dyDescent="0.3">
      <c r="D139">
        <v>685</v>
      </c>
    </row>
    <row r="140" spans="4:4" x14ac:dyDescent="0.3">
      <c r="D140">
        <v>690</v>
      </c>
    </row>
    <row r="141" spans="4:4" x14ac:dyDescent="0.3">
      <c r="D141">
        <v>695</v>
      </c>
    </row>
    <row r="142" spans="4:4" x14ac:dyDescent="0.3">
      <c r="D142">
        <v>700</v>
      </c>
    </row>
    <row r="143" spans="4:4" x14ac:dyDescent="0.3">
      <c r="D143">
        <v>705</v>
      </c>
    </row>
    <row r="144" spans="4:4" x14ac:dyDescent="0.3">
      <c r="D144">
        <v>710</v>
      </c>
    </row>
    <row r="145" spans="4:4" x14ac:dyDescent="0.3">
      <c r="D145">
        <v>715</v>
      </c>
    </row>
    <row r="146" spans="4:4" x14ac:dyDescent="0.3">
      <c r="D146">
        <v>720</v>
      </c>
    </row>
    <row r="147" spans="4:4" x14ac:dyDescent="0.3">
      <c r="D147">
        <v>725</v>
      </c>
    </row>
    <row r="148" spans="4:4" x14ac:dyDescent="0.3">
      <c r="D148">
        <v>730</v>
      </c>
    </row>
    <row r="149" spans="4:4" x14ac:dyDescent="0.3">
      <c r="D149">
        <v>735</v>
      </c>
    </row>
    <row r="150" spans="4:4" x14ac:dyDescent="0.3">
      <c r="D150">
        <v>740</v>
      </c>
    </row>
    <row r="151" spans="4:4" x14ac:dyDescent="0.3">
      <c r="D151">
        <v>745</v>
      </c>
    </row>
    <row r="152" spans="4:4" x14ac:dyDescent="0.3">
      <c r="D152">
        <v>750</v>
      </c>
    </row>
    <row r="153" spans="4:4" x14ac:dyDescent="0.3">
      <c r="D153">
        <v>755</v>
      </c>
    </row>
    <row r="154" spans="4:4" x14ac:dyDescent="0.3">
      <c r="D154">
        <v>760</v>
      </c>
    </row>
    <row r="155" spans="4:4" x14ac:dyDescent="0.3">
      <c r="D155">
        <v>765</v>
      </c>
    </row>
    <row r="156" spans="4:4" x14ac:dyDescent="0.3">
      <c r="D156">
        <v>770</v>
      </c>
    </row>
    <row r="157" spans="4:4" x14ac:dyDescent="0.3">
      <c r="D157">
        <v>775</v>
      </c>
    </row>
    <row r="158" spans="4:4" x14ac:dyDescent="0.3">
      <c r="D158">
        <v>780</v>
      </c>
    </row>
    <row r="159" spans="4:4" x14ac:dyDescent="0.3">
      <c r="D159">
        <v>785</v>
      </c>
    </row>
    <row r="160" spans="4:4" x14ac:dyDescent="0.3">
      <c r="D160">
        <v>790</v>
      </c>
    </row>
    <row r="161" spans="4:4" x14ac:dyDescent="0.3">
      <c r="D161">
        <v>795</v>
      </c>
    </row>
    <row r="162" spans="4:4" x14ac:dyDescent="0.3">
      <c r="D162">
        <v>800</v>
      </c>
    </row>
    <row r="163" spans="4:4" x14ac:dyDescent="0.3">
      <c r="D163">
        <v>805</v>
      </c>
    </row>
    <row r="164" spans="4:4" x14ac:dyDescent="0.3">
      <c r="D164">
        <v>810</v>
      </c>
    </row>
    <row r="165" spans="4:4" x14ac:dyDescent="0.3">
      <c r="D165">
        <v>815</v>
      </c>
    </row>
    <row r="166" spans="4:4" x14ac:dyDescent="0.3">
      <c r="D166">
        <v>820</v>
      </c>
    </row>
    <row r="167" spans="4:4" x14ac:dyDescent="0.3">
      <c r="D167">
        <v>825</v>
      </c>
    </row>
    <row r="168" spans="4:4" x14ac:dyDescent="0.3">
      <c r="D168">
        <v>830</v>
      </c>
    </row>
    <row r="169" spans="4:4" x14ac:dyDescent="0.3">
      <c r="D169">
        <v>835</v>
      </c>
    </row>
    <row r="170" spans="4:4" x14ac:dyDescent="0.3">
      <c r="D170">
        <v>840</v>
      </c>
    </row>
    <row r="171" spans="4:4" x14ac:dyDescent="0.3">
      <c r="D171">
        <v>845</v>
      </c>
    </row>
    <row r="172" spans="4:4" x14ac:dyDescent="0.3">
      <c r="D172">
        <v>850</v>
      </c>
    </row>
    <row r="173" spans="4:4" x14ac:dyDescent="0.3">
      <c r="D173">
        <v>855</v>
      </c>
    </row>
    <row r="174" spans="4:4" x14ac:dyDescent="0.3">
      <c r="D174">
        <v>860</v>
      </c>
    </row>
    <row r="175" spans="4:4" x14ac:dyDescent="0.3">
      <c r="D175">
        <v>865</v>
      </c>
    </row>
    <row r="176" spans="4:4" x14ac:dyDescent="0.3">
      <c r="D176">
        <v>870</v>
      </c>
    </row>
    <row r="177" spans="4:4" x14ac:dyDescent="0.3">
      <c r="D177">
        <v>875</v>
      </c>
    </row>
    <row r="178" spans="4:4" x14ac:dyDescent="0.3">
      <c r="D178">
        <v>880</v>
      </c>
    </row>
    <row r="179" spans="4:4" x14ac:dyDescent="0.3">
      <c r="D179">
        <v>885</v>
      </c>
    </row>
    <row r="180" spans="4:4" x14ac:dyDescent="0.3">
      <c r="D180">
        <v>890</v>
      </c>
    </row>
    <row r="181" spans="4:4" x14ac:dyDescent="0.3">
      <c r="D181">
        <v>895</v>
      </c>
    </row>
    <row r="182" spans="4:4" x14ac:dyDescent="0.3">
      <c r="D182">
        <v>900</v>
      </c>
    </row>
    <row r="183" spans="4:4" x14ac:dyDescent="0.3">
      <c r="D183">
        <v>905</v>
      </c>
    </row>
    <row r="184" spans="4:4" x14ac:dyDescent="0.3">
      <c r="D184">
        <v>910</v>
      </c>
    </row>
    <row r="185" spans="4:4" x14ac:dyDescent="0.3">
      <c r="D185">
        <v>915</v>
      </c>
    </row>
    <row r="186" spans="4:4" x14ac:dyDescent="0.3">
      <c r="D186">
        <v>920</v>
      </c>
    </row>
    <row r="187" spans="4:4" x14ac:dyDescent="0.3">
      <c r="D187">
        <v>925</v>
      </c>
    </row>
    <row r="188" spans="4:4" x14ac:dyDescent="0.3">
      <c r="D188">
        <v>930</v>
      </c>
    </row>
    <row r="189" spans="4:4" x14ac:dyDescent="0.3">
      <c r="D189">
        <v>935</v>
      </c>
    </row>
    <row r="190" spans="4:4" x14ac:dyDescent="0.3">
      <c r="D190">
        <v>940</v>
      </c>
    </row>
    <row r="191" spans="4:4" x14ac:dyDescent="0.3">
      <c r="D191">
        <v>945</v>
      </c>
    </row>
    <row r="192" spans="4:4" x14ac:dyDescent="0.3">
      <c r="D192">
        <v>950</v>
      </c>
    </row>
    <row r="193" spans="4:4" x14ac:dyDescent="0.3">
      <c r="D193">
        <v>955</v>
      </c>
    </row>
    <row r="194" spans="4:4" x14ac:dyDescent="0.3">
      <c r="D194">
        <v>960</v>
      </c>
    </row>
    <row r="195" spans="4:4" x14ac:dyDescent="0.3">
      <c r="D195">
        <v>965</v>
      </c>
    </row>
    <row r="196" spans="4:4" x14ac:dyDescent="0.3">
      <c r="D196">
        <v>970</v>
      </c>
    </row>
    <row r="197" spans="4:4" x14ac:dyDescent="0.3">
      <c r="D197">
        <v>975</v>
      </c>
    </row>
    <row r="198" spans="4:4" x14ac:dyDescent="0.3">
      <c r="D198">
        <v>980</v>
      </c>
    </row>
    <row r="199" spans="4:4" x14ac:dyDescent="0.3">
      <c r="D199">
        <v>985</v>
      </c>
    </row>
    <row r="200" spans="4:4" x14ac:dyDescent="0.3">
      <c r="D200">
        <v>990</v>
      </c>
    </row>
    <row r="201" spans="4:4" x14ac:dyDescent="0.3">
      <c r="D201">
        <v>995</v>
      </c>
    </row>
    <row r="202" spans="4:4" x14ac:dyDescent="0.3">
      <c r="D202">
        <v>1000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D2E3-5E9E-4D15-B10E-F2185AA1F2E8}">
  <sheetPr codeName="Tabelle6"/>
  <dimension ref="B2:DG370"/>
  <sheetViews>
    <sheetView zoomScale="25" zoomScaleNormal="25" workbookViewId="0">
      <selection activeCell="AK93" sqref="AK93"/>
    </sheetView>
  </sheetViews>
  <sheetFormatPr baseColWidth="10" defaultColWidth="11.44140625" defaultRowHeight="13.2" x14ac:dyDescent="0.25"/>
  <cols>
    <col min="1" max="16384" width="11.44140625" style="10"/>
  </cols>
  <sheetData>
    <row r="2" spans="2:111" x14ac:dyDescent="0.25">
      <c r="AW2" s="167" t="s">
        <v>364</v>
      </c>
      <c r="AX2" s="168"/>
      <c r="AY2" s="168"/>
      <c r="AZ2" s="168"/>
      <c r="BA2" s="168"/>
      <c r="BB2" s="168"/>
      <c r="BC2" s="168"/>
      <c r="BF2" s="167" t="s">
        <v>365</v>
      </c>
      <c r="BG2" s="168"/>
      <c r="BH2" s="168"/>
      <c r="BI2" s="168"/>
      <c r="BJ2" s="168"/>
      <c r="BK2" s="168"/>
      <c r="BL2" s="168"/>
      <c r="BO2" s="167" t="s">
        <v>366</v>
      </c>
      <c r="BP2" s="168"/>
      <c r="BQ2" s="168"/>
      <c r="BR2" s="168"/>
      <c r="BS2" s="168"/>
      <c r="BT2" s="168"/>
      <c r="BU2" s="168"/>
      <c r="BX2" s="167" t="s">
        <v>367</v>
      </c>
      <c r="BY2" s="168"/>
      <c r="BZ2" s="168"/>
      <c r="CA2" s="168"/>
      <c r="CB2" s="168"/>
      <c r="CC2" s="168"/>
      <c r="CD2" s="168"/>
    </row>
    <row r="4" spans="2:111" ht="14.4" customHeight="1" x14ac:dyDescent="0.25">
      <c r="F4" s="13"/>
      <c r="G4" s="13"/>
      <c r="H4" s="13"/>
      <c r="I4" s="13"/>
      <c r="J4" s="13"/>
      <c r="K4" s="13"/>
      <c r="L4" s="13"/>
      <c r="M4" s="13"/>
      <c r="N4" s="13"/>
      <c r="O4" s="13"/>
      <c r="P4" s="13"/>
      <c r="Q4" s="13"/>
      <c r="Z4" s="170" t="s">
        <v>313</v>
      </c>
      <c r="AB4" s="170" t="s">
        <v>318</v>
      </c>
      <c r="AD4" s="139" t="s">
        <v>434</v>
      </c>
    </row>
    <row r="5" spans="2:111" ht="14.4" customHeight="1" x14ac:dyDescent="0.25">
      <c r="F5" s="9"/>
      <c r="G5" s="14"/>
      <c r="H5" s="14"/>
      <c r="I5" s="14" t="s">
        <v>0</v>
      </c>
      <c r="J5" s="14"/>
      <c r="K5" s="14"/>
      <c r="L5" s="14"/>
      <c r="N5" s="14"/>
      <c r="O5" s="14" t="s">
        <v>77</v>
      </c>
      <c r="P5" s="14"/>
      <c r="Q5" s="15"/>
      <c r="R5" s="170" t="s">
        <v>312</v>
      </c>
      <c r="S5" s="170"/>
      <c r="T5" s="170"/>
      <c r="V5" s="14" t="s">
        <v>88</v>
      </c>
      <c r="X5" s="96" t="s">
        <v>311</v>
      </c>
      <c r="Z5" s="170"/>
      <c r="AB5" s="170"/>
      <c r="AD5" s="139" t="s">
        <v>435</v>
      </c>
      <c r="AF5" s="22"/>
      <c r="AG5" s="23" t="s">
        <v>90</v>
      </c>
      <c r="AH5" s="23" t="s">
        <v>91</v>
      </c>
      <c r="AI5" s="22"/>
      <c r="AK5" s="22"/>
      <c r="AL5" s="23" t="s">
        <v>93</v>
      </c>
      <c r="AM5" s="23"/>
      <c r="AO5" s="22"/>
      <c r="AP5" s="23"/>
      <c r="AQ5" s="23" t="s">
        <v>105</v>
      </c>
      <c r="AR5" s="22"/>
      <c r="AS5" s="22"/>
      <c r="AW5" s="28"/>
      <c r="AX5" s="28"/>
      <c r="AY5" s="31" t="s">
        <v>137</v>
      </c>
      <c r="AZ5" s="28"/>
      <c r="BA5" s="28"/>
      <c r="BF5" s="28"/>
      <c r="BG5" s="28"/>
      <c r="BH5" s="31" t="s">
        <v>137</v>
      </c>
      <c r="BI5" s="28"/>
      <c r="BJ5" s="28"/>
      <c r="BO5" s="28"/>
      <c r="BP5" s="28"/>
      <c r="BQ5" s="31" t="s">
        <v>137</v>
      </c>
      <c r="BR5" s="28"/>
      <c r="BS5" s="28"/>
      <c r="BX5" s="28"/>
      <c r="BY5" s="28"/>
      <c r="BZ5" s="31" t="s">
        <v>137</v>
      </c>
      <c r="CA5" s="28"/>
      <c r="CB5" s="28"/>
      <c r="CG5" s="28"/>
      <c r="CH5" s="31" t="s">
        <v>139</v>
      </c>
      <c r="CI5" s="31"/>
      <c r="CJ5" s="28"/>
      <c r="CK5" s="28"/>
      <c r="CQ5" s="37"/>
      <c r="CR5" s="37"/>
      <c r="CS5" s="37" t="s">
        <v>392</v>
      </c>
      <c r="CT5" s="37"/>
      <c r="CU5" s="37"/>
      <c r="CV5" s="37"/>
      <c r="DA5" s="37"/>
      <c r="DB5" s="37"/>
      <c r="DC5" s="37" t="s">
        <v>393</v>
      </c>
      <c r="DD5" s="37"/>
      <c r="DE5" s="37"/>
      <c r="DF5" s="37"/>
    </row>
    <row r="6" spans="2:111" x14ac:dyDescent="0.25">
      <c r="AW6" s="33" t="s">
        <v>51</v>
      </c>
      <c r="AX6" s="33" t="s">
        <v>51</v>
      </c>
      <c r="AY6" s="33" t="s">
        <v>51</v>
      </c>
      <c r="AZ6" s="33" t="s">
        <v>51</v>
      </c>
      <c r="BA6" s="33" t="s">
        <v>51</v>
      </c>
      <c r="BB6" s="33" t="s">
        <v>51</v>
      </c>
      <c r="BC6" s="33" t="s">
        <v>51</v>
      </c>
      <c r="BF6" s="33" t="s">
        <v>51</v>
      </c>
      <c r="BG6" s="33" t="s">
        <v>51</v>
      </c>
      <c r="BH6" s="33" t="s">
        <v>51</v>
      </c>
      <c r="BI6" s="33" t="s">
        <v>51</v>
      </c>
      <c r="BJ6" s="33" t="s">
        <v>51</v>
      </c>
      <c r="BK6" s="33" t="s">
        <v>51</v>
      </c>
      <c r="BL6" s="33" t="s">
        <v>51</v>
      </c>
      <c r="BO6" s="33" t="s">
        <v>51</v>
      </c>
      <c r="BP6" s="33" t="s">
        <v>51</v>
      </c>
      <c r="BQ6" s="33" t="s">
        <v>51</v>
      </c>
      <c r="BR6" s="33" t="s">
        <v>51</v>
      </c>
      <c r="BS6" s="33" t="s">
        <v>51</v>
      </c>
      <c r="BT6" s="33" t="s">
        <v>51</v>
      </c>
      <c r="BU6" s="33" t="s">
        <v>51</v>
      </c>
      <c r="BX6" s="33" t="s">
        <v>51</v>
      </c>
      <c r="BY6" s="33" t="s">
        <v>51</v>
      </c>
      <c r="BZ6" s="33" t="s">
        <v>51</v>
      </c>
      <c r="CA6" s="33" t="s">
        <v>51</v>
      </c>
      <c r="CB6" s="33" t="s">
        <v>51</v>
      </c>
      <c r="CC6" s="33" t="s">
        <v>51</v>
      </c>
      <c r="CD6" s="33" t="s">
        <v>51</v>
      </c>
      <c r="CG6" s="33"/>
      <c r="CH6" s="33"/>
      <c r="CI6" s="33"/>
      <c r="CJ6" s="33"/>
      <c r="CK6" s="33"/>
      <c r="CQ6" s="35"/>
      <c r="CR6" s="35"/>
      <c r="CS6" s="35"/>
      <c r="CT6" s="35"/>
      <c r="CU6" s="35"/>
      <c r="CV6" s="35"/>
      <c r="DA6" s="35"/>
      <c r="DB6" s="35"/>
      <c r="DC6" s="35"/>
      <c r="DF6" s="35"/>
    </row>
    <row r="7" spans="2:111" x14ac:dyDescent="0.25">
      <c r="B7" s="27"/>
      <c r="C7" s="10" t="s">
        <v>110</v>
      </c>
      <c r="I7" s="16">
        <f>IF(Eingabemaske!G20="RA überdacht: 1,5m%",0.015,0.05)</f>
        <v>1.4999999999999999E-2</v>
      </c>
      <c r="J7" s="17">
        <f>1-(L7+K7)</f>
        <v>0.86</v>
      </c>
      <c r="K7" s="16">
        <f>Eingabemaske!D16/100</f>
        <v>0.1</v>
      </c>
      <c r="L7" s="16">
        <f>Eingabemaske!B16/100</f>
        <v>0.04</v>
      </c>
      <c r="N7" s="16">
        <f>Eingabemaske!C12/100</f>
        <v>0.89</v>
      </c>
      <c r="O7" s="17"/>
      <c r="P7" s="16">
        <f>IF(Eingabemaske!C20="alle GK überdacht: 1,5m%",0.015,IF(Eingabemaske!C20="nur GK &lt;2mm überdacht: 2,5m%",0.025,0.05))</f>
        <v>1.4999999999999999E-2</v>
      </c>
      <c r="R7" s="16">
        <f>Eingabemaske!D12/100</f>
        <v>5.2999999999999999E-2</v>
      </c>
      <c r="T7" s="92">
        <v>0</v>
      </c>
      <c r="V7" s="16">
        <f>Eingabemaske!B12/100</f>
        <v>4.4999999999999998E-2</v>
      </c>
      <c r="X7" s="16">
        <f>Eingabemaske!F12/100</f>
        <v>1.2E-2</v>
      </c>
      <c r="Z7" s="16">
        <f>Eingabemaske!E12/100</f>
        <v>0</v>
      </c>
      <c r="AB7" s="101">
        <f>R7+X7+Z7</f>
        <v>6.5000000000000002E-2</v>
      </c>
      <c r="AD7" s="142">
        <f>ROUND(X7/AB7*100,1)</f>
        <v>18.5</v>
      </c>
      <c r="AF7" s="24">
        <f>N7</f>
        <v>0.89</v>
      </c>
      <c r="AG7" s="24">
        <f>R7+X7+Z7</f>
        <v>6.5000000000000002E-2</v>
      </c>
      <c r="AH7" s="24">
        <f>V7</f>
        <v>4.4999999999999998E-2</v>
      </c>
      <c r="AI7" s="24">
        <f>SUM(AF7:AH7)</f>
        <v>1</v>
      </c>
      <c r="AK7" s="24">
        <f>I7</f>
        <v>1.4999999999999999E-2</v>
      </c>
      <c r="AL7" s="24">
        <f>P7</f>
        <v>1.4999999999999999E-2</v>
      </c>
      <c r="AM7" s="24">
        <f>T7</f>
        <v>0</v>
      </c>
      <c r="AO7" s="24"/>
      <c r="AP7" s="24"/>
      <c r="AQ7" s="24"/>
      <c r="AR7" s="24"/>
      <c r="AS7" s="24"/>
      <c r="AW7" s="38">
        <f>Eingabemaske!G32</f>
        <v>50</v>
      </c>
      <c r="AX7" s="38">
        <f>Eingabemaske!C32</f>
        <v>50</v>
      </c>
      <c r="AY7" s="38">
        <f>Eingabemaske!D32</f>
        <v>50</v>
      </c>
      <c r="AZ7" s="38">
        <f>Eingabemaske!B32</f>
        <v>100</v>
      </c>
      <c r="BA7" s="38">
        <f>Eingabemaske!H32</f>
        <v>50</v>
      </c>
      <c r="BB7" s="38">
        <f>Eingabemaske!F32</f>
        <v>50</v>
      </c>
      <c r="BC7" s="38">
        <f>Eingabemaske!E32</f>
        <v>50</v>
      </c>
      <c r="BF7" s="38">
        <f>Eingabemaske!G34</f>
        <v>0</v>
      </c>
      <c r="BG7" s="38">
        <f>Eingabemaske!C34</f>
        <v>0</v>
      </c>
      <c r="BH7" s="38">
        <f>Eingabemaske!D34</f>
        <v>0</v>
      </c>
      <c r="BI7" s="38">
        <f>Eingabemaske!B34</f>
        <v>0</v>
      </c>
      <c r="BJ7" s="38">
        <f>Eingabemaske!H34</f>
        <v>0</v>
      </c>
      <c r="BK7" s="38">
        <f>Eingabemaske!F34</f>
        <v>0</v>
      </c>
      <c r="BL7" s="38">
        <f>Eingabemaske!E34</f>
        <v>0</v>
      </c>
      <c r="BO7" s="38">
        <f>Eingabemaske!G38</f>
        <v>0</v>
      </c>
      <c r="BP7" s="38">
        <f>Eingabemaske!C38</f>
        <v>0</v>
      </c>
      <c r="BQ7" s="38">
        <f>Eingabemaske!D38</f>
        <v>0</v>
      </c>
      <c r="BR7" s="38">
        <f>Eingabemaske!B38</f>
        <v>0</v>
      </c>
      <c r="BS7" s="38">
        <f>Eingabemaske!H38</f>
        <v>0</v>
      </c>
      <c r="BT7" s="38">
        <f>Eingabemaske!F38</f>
        <v>0</v>
      </c>
      <c r="BU7" s="38">
        <f>Eingabemaske!D38</f>
        <v>0</v>
      </c>
      <c r="BX7" s="38">
        <f>Eingabemaske!G40</f>
        <v>0</v>
      </c>
      <c r="BY7" s="38">
        <f>Eingabemaske!C40</f>
        <v>0</v>
      </c>
      <c r="BZ7" s="38">
        <f>Eingabemaske!D40</f>
        <v>0</v>
      </c>
      <c r="CA7" s="38">
        <f>Eingabemaske!B40</f>
        <v>0</v>
      </c>
      <c r="CB7" s="38">
        <f>Eingabemaske!H40</f>
        <v>0</v>
      </c>
      <c r="CC7" s="38">
        <f>Eingabemaske!F40</f>
        <v>0</v>
      </c>
      <c r="CD7" s="38">
        <f>Eingabemaske!E40</f>
        <v>0</v>
      </c>
      <c r="CQ7" s="35"/>
      <c r="CR7" s="35"/>
      <c r="CS7" s="35"/>
      <c r="CT7" s="35"/>
      <c r="CU7" s="35"/>
      <c r="CV7" s="35"/>
      <c r="DA7" s="35"/>
      <c r="DB7" s="35"/>
      <c r="DC7" s="35"/>
      <c r="DD7" s="133">
        <f>Eingabemaske!N17</f>
        <v>2.5489999999999999</v>
      </c>
      <c r="DE7" s="35" t="s">
        <v>431</v>
      </c>
      <c r="DF7" s="35"/>
    </row>
    <row r="8" spans="2:111" x14ac:dyDescent="0.25">
      <c r="C8" s="40" t="s">
        <v>145</v>
      </c>
      <c r="D8" s="31" t="s">
        <v>146</v>
      </c>
      <c r="F8" s="12" t="s">
        <v>0</v>
      </c>
      <c r="G8" s="18" t="s">
        <v>0</v>
      </c>
      <c r="H8" s="18" t="s">
        <v>1</v>
      </c>
      <c r="I8" s="18" t="s">
        <v>8</v>
      </c>
      <c r="J8" s="18" t="s">
        <v>79</v>
      </c>
      <c r="K8" s="18" t="s">
        <v>78</v>
      </c>
      <c r="L8" s="18" t="s">
        <v>80</v>
      </c>
      <c r="N8" s="18" t="s">
        <v>2</v>
      </c>
      <c r="O8" s="18" t="s">
        <v>3</v>
      </c>
      <c r="P8" s="18" t="s">
        <v>9</v>
      </c>
      <c r="R8" s="95" t="s">
        <v>314</v>
      </c>
      <c r="S8" s="95" t="s">
        <v>315</v>
      </c>
      <c r="T8" s="95" t="s">
        <v>316</v>
      </c>
      <c r="V8" s="18" t="s">
        <v>5</v>
      </c>
      <c r="X8" s="95" t="s">
        <v>311</v>
      </c>
      <c r="Z8" s="95">
        <v>0</v>
      </c>
      <c r="AB8" s="95" t="s">
        <v>319</v>
      </c>
      <c r="AD8" s="95"/>
      <c r="AF8" s="18" t="s">
        <v>2</v>
      </c>
      <c r="AG8" s="95" t="s">
        <v>319</v>
      </c>
      <c r="AH8" s="18" t="s">
        <v>5</v>
      </c>
      <c r="AI8" s="18" t="s">
        <v>92</v>
      </c>
      <c r="AK8" s="18" t="s">
        <v>0</v>
      </c>
      <c r="AL8" s="18" t="s">
        <v>2</v>
      </c>
      <c r="AM8" s="18" t="s">
        <v>4</v>
      </c>
      <c r="AO8" s="18" t="s">
        <v>0</v>
      </c>
      <c r="AP8" s="18" t="s">
        <v>2</v>
      </c>
      <c r="AQ8" s="18" t="s">
        <v>4</v>
      </c>
      <c r="AR8" s="18" t="s">
        <v>5</v>
      </c>
      <c r="AS8" s="18" t="s">
        <v>92</v>
      </c>
      <c r="AT8" s="95" t="s">
        <v>311</v>
      </c>
      <c r="AU8" s="95" t="s">
        <v>317</v>
      </c>
      <c r="AW8" s="18" t="s">
        <v>0</v>
      </c>
      <c r="AX8" s="18" t="s">
        <v>2</v>
      </c>
      <c r="AY8" s="108" t="s">
        <v>314</v>
      </c>
      <c r="AZ8" s="18" t="s">
        <v>5</v>
      </c>
      <c r="BA8" s="18" t="s">
        <v>92</v>
      </c>
      <c r="BB8" s="95" t="s">
        <v>311</v>
      </c>
      <c r="BC8" s="95" t="s">
        <v>317</v>
      </c>
      <c r="BF8" s="18" t="s">
        <v>0</v>
      </c>
      <c r="BG8" s="18" t="s">
        <v>2</v>
      </c>
      <c r="BH8" s="108" t="s">
        <v>314</v>
      </c>
      <c r="BI8" s="18" t="s">
        <v>5</v>
      </c>
      <c r="BJ8" s="18" t="s">
        <v>92</v>
      </c>
      <c r="BK8" s="95" t="s">
        <v>311</v>
      </c>
      <c r="BL8" s="95" t="s">
        <v>317</v>
      </c>
      <c r="BO8" s="18" t="s">
        <v>0</v>
      </c>
      <c r="BP8" s="18" t="s">
        <v>2</v>
      </c>
      <c r="BQ8" s="108" t="s">
        <v>314</v>
      </c>
      <c r="BR8" s="18" t="s">
        <v>5</v>
      </c>
      <c r="BS8" s="18" t="s">
        <v>92</v>
      </c>
      <c r="BT8" s="95" t="s">
        <v>311</v>
      </c>
      <c r="BU8" s="95" t="s">
        <v>317</v>
      </c>
      <c r="BX8" s="18" t="s">
        <v>0</v>
      </c>
      <c r="BY8" s="18" t="s">
        <v>2</v>
      </c>
      <c r="BZ8" s="108" t="s">
        <v>314</v>
      </c>
      <c r="CA8" s="18" t="s">
        <v>5</v>
      </c>
      <c r="CB8" s="18" t="s">
        <v>92</v>
      </c>
      <c r="CC8" s="95" t="s">
        <v>311</v>
      </c>
      <c r="CD8" s="95" t="s">
        <v>317</v>
      </c>
      <c r="CG8" s="18" t="s">
        <v>0</v>
      </c>
      <c r="CH8" s="18" t="s">
        <v>2</v>
      </c>
      <c r="CI8" s="108" t="s">
        <v>314</v>
      </c>
      <c r="CJ8" s="18" t="s">
        <v>5</v>
      </c>
      <c r="CK8" s="95" t="s">
        <v>311</v>
      </c>
      <c r="CL8" s="95" t="s">
        <v>317</v>
      </c>
      <c r="CM8" s="29" t="s">
        <v>122</v>
      </c>
      <c r="CQ8" s="33" t="s">
        <v>140</v>
      </c>
      <c r="CR8" s="33" t="s">
        <v>141</v>
      </c>
      <c r="CS8" s="33" t="s">
        <v>142</v>
      </c>
      <c r="CT8" s="33" t="s">
        <v>143</v>
      </c>
      <c r="CU8" s="3" t="s">
        <v>6</v>
      </c>
      <c r="CV8" s="3" t="s">
        <v>6</v>
      </c>
      <c r="DA8" s="33" t="s">
        <v>140</v>
      </c>
      <c r="DB8" s="33" t="s">
        <v>141</v>
      </c>
      <c r="DC8" s="33" t="s">
        <v>142</v>
      </c>
      <c r="DD8" s="33" t="s">
        <v>143</v>
      </c>
      <c r="DE8" s="3" t="s">
        <v>6</v>
      </c>
      <c r="DF8" s="3" t="s">
        <v>6</v>
      </c>
    </row>
    <row r="9" spans="2:111" x14ac:dyDescent="0.25">
      <c r="B9" s="34" t="s">
        <v>37</v>
      </c>
      <c r="C9" s="126">
        <f>D66</f>
        <v>0.20200000000000001</v>
      </c>
      <c r="D9" s="10" t="s">
        <v>11</v>
      </c>
      <c r="F9" s="12" t="s">
        <v>12</v>
      </c>
      <c r="G9" s="18" t="s">
        <v>13</v>
      </c>
      <c r="H9" s="18" t="s">
        <v>13</v>
      </c>
      <c r="I9" s="18" t="s">
        <v>13</v>
      </c>
      <c r="J9" s="18" t="s">
        <v>13</v>
      </c>
      <c r="K9" s="18" t="s">
        <v>13</v>
      </c>
      <c r="L9" s="18" t="s">
        <v>13</v>
      </c>
      <c r="N9" s="18" t="s">
        <v>13</v>
      </c>
      <c r="O9" s="18" t="s">
        <v>13</v>
      </c>
      <c r="P9" s="18" t="s">
        <v>13</v>
      </c>
      <c r="R9" s="18" t="s">
        <v>13</v>
      </c>
      <c r="S9" s="18" t="s">
        <v>13</v>
      </c>
      <c r="T9" s="18" t="s">
        <v>13</v>
      </c>
      <c r="V9" s="18" t="s">
        <v>13</v>
      </c>
      <c r="X9" s="18" t="s">
        <v>13</v>
      </c>
      <c r="Z9" s="18" t="s">
        <v>13</v>
      </c>
      <c r="AB9" s="18" t="s">
        <v>13</v>
      </c>
      <c r="AD9" s="18"/>
      <c r="AE9" s="20"/>
      <c r="AF9" s="18" t="s">
        <v>13</v>
      </c>
      <c r="AG9" s="18" t="s">
        <v>13</v>
      </c>
      <c r="AH9" s="18" t="s">
        <v>13</v>
      </c>
      <c r="AI9" s="18" t="s">
        <v>13</v>
      </c>
      <c r="AK9" s="18" t="s">
        <v>13</v>
      </c>
      <c r="AL9" s="18" t="s">
        <v>13</v>
      </c>
      <c r="AM9" s="18" t="s">
        <v>13</v>
      </c>
      <c r="AO9" s="18" t="s">
        <v>13</v>
      </c>
      <c r="AP9" s="18" t="s">
        <v>13</v>
      </c>
      <c r="AQ9" s="18" t="s">
        <v>13</v>
      </c>
      <c r="AR9" s="18" t="s">
        <v>13</v>
      </c>
      <c r="AS9" s="18" t="s">
        <v>13</v>
      </c>
      <c r="AT9" s="18" t="s">
        <v>13</v>
      </c>
      <c r="AU9" s="18" t="s">
        <v>13</v>
      </c>
      <c r="AW9" s="34" t="s">
        <v>136</v>
      </c>
      <c r="AX9" s="34" t="s">
        <v>136</v>
      </c>
      <c r="AY9" s="34" t="s">
        <v>136</v>
      </c>
      <c r="AZ9" s="34" t="s">
        <v>136</v>
      </c>
      <c r="BA9" s="34" t="s">
        <v>136</v>
      </c>
      <c r="BB9" s="34" t="s">
        <v>136</v>
      </c>
      <c r="BC9" s="34" t="s">
        <v>136</v>
      </c>
      <c r="BF9" s="34" t="s">
        <v>136</v>
      </c>
      <c r="BG9" s="34" t="s">
        <v>136</v>
      </c>
      <c r="BH9" s="34" t="s">
        <v>136</v>
      </c>
      <c r="BI9" s="34" t="s">
        <v>136</v>
      </c>
      <c r="BJ9" s="34" t="s">
        <v>136</v>
      </c>
      <c r="BK9" s="34" t="s">
        <v>136</v>
      </c>
      <c r="BL9" s="34" t="s">
        <v>136</v>
      </c>
      <c r="BO9" s="34" t="s">
        <v>136</v>
      </c>
      <c r="BP9" s="34" t="s">
        <v>136</v>
      </c>
      <c r="BQ9" s="34" t="s">
        <v>136</v>
      </c>
      <c r="BR9" s="34" t="s">
        <v>136</v>
      </c>
      <c r="BS9" s="34" t="s">
        <v>136</v>
      </c>
      <c r="BT9" s="34" t="s">
        <v>136</v>
      </c>
      <c r="BU9" s="34" t="s">
        <v>136</v>
      </c>
      <c r="BX9" s="34" t="s">
        <v>136</v>
      </c>
      <c r="BY9" s="34" t="s">
        <v>136</v>
      </c>
      <c r="BZ9" s="34" t="s">
        <v>136</v>
      </c>
      <c r="CA9" s="34" t="s">
        <v>136</v>
      </c>
      <c r="CB9" s="34" t="s">
        <v>136</v>
      </c>
      <c r="CC9" s="34" t="s">
        <v>136</v>
      </c>
      <c r="CD9" s="34" t="s">
        <v>136</v>
      </c>
      <c r="CG9" s="34" t="s">
        <v>136</v>
      </c>
      <c r="CH9" s="34" t="s">
        <v>136</v>
      </c>
      <c r="CI9" s="34" t="s">
        <v>136</v>
      </c>
      <c r="CJ9" s="34" t="s">
        <v>136</v>
      </c>
      <c r="CK9" s="34" t="s">
        <v>136</v>
      </c>
      <c r="CL9" s="34" t="s">
        <v>136</v>
      </c>
      <c r="CM9" s="29" t="s">
        <v>136</v>
      </c>
      <c r="CQ9" s="34" t="s">
        <v>136</v>
      </c>
      <c r="CR9" s="34" t="s">
        <v>136</v>
      </c>
      <c r="CS9" s="34" t="s">
        <v>136</v>
      </c>
      <c r="CT9" s="34" t="s">
        <v>136</v>
      </c>
      <c r="CU9" s="29" t="s">
        <v>136</v>
      </c>
      <c r="CV9" s="29" t="s">
        <v>12</v>
      </c>
      <c r="DA9" s="34" t="s">
        <v>136</v>
      </c>
      <c r="DB9" s="34" t="s">
        <v>136</v>
      </c>
      <c r="DC9" s="34" t="s">
        <v>136</v>
      </c>
      <c r="DD9" s="34" t="s">
        <v>136</v>
      </c>
      <c r="DE9" s="29" t="s">
        <v>136</v>
      </c>
      <c r="DF9" s="29" t="s">
        <v>12</v>
      </c>
    </row>
    <row r="10" spans="2:111" x14ac:dyDescent="0.25">
      <c r="B10" s="18" t="s">
        <v>15</v>
      </c>
      <c r="C10" s="126">
        <f>D68</f>
        <v>2.4599999999999999E-3</v>
      </c>
      <c r="D10" s="52" t="s">
        <v>159</v>
      </c>
      <c r="F10" s="105">
        <v>0</v>
      </c>
      <c r="G10" s="10">
        <f>1000*F10</f>
        <v>0</v>
      </c>
      <c r="H10" s="20">
        <f>G10/(1-$I$7)</f>
        <v>0</v>
      </c>
      <c r="I10" s="20">
        <f t="shared" ref="I10:I12" si="0">H10*$I$7</f>
        <v>0</v>
      </c>
      <c r="J10" s="20">
        <f>G10*$J$7</f>
        <v>0</v>
      </c>
      <c r="K10" s="20">
        <f>G10*$K$7</f>
        <v>0</v>
      </c>
      <c r="L10" s="20">
        <f t="shared" ref="L10:L12" si="1">G10*$L$7</f>
        <v>0</v>
      </c>
      <c r="M10" s="10">
        <v>0</v>
      </c>
      <c r="N10" s="20">
        <f>$N$7*1000-J10</f>
        <v>890</v>
      </c>
      <c r="O10" s="20">
        <f t="shared" ref="O10" si="2">N10/(1-$P$7)</f>
        <v>903.5532994923858</v>
      </c>
      <c r="P10" s="20">
        <f t="shared" ref="P10" si="3">O10*$P$7</f>
        <v>13.553299492385786</v>
      </c>
      <c r="Q10" s="10">
        <v>0</v>
      </c>
      <c r="R10" s="20">
        <f>$R$7*1000-$K10</f>
        <v>53</v>
      </c>
      <c r="S10" s="20">
        <f>R10/(1-$T$7)</f>
        <v>53</v>
      </c>
      <c r="T10" s="20">
        <f>S10*$T$7</f>
        <v>0</v>
      </c>
      <c r="U10" s="10">
        <v>0</v>
      </c>
      <c r="V10" s="20">
        <f>$V$7*1000-L10</f>
        <v>45</v>
      </c>
      <c r="X10" s="20">
        <f>$X$7*1000</f>
        <v>12</v>
      </c>
      <c r="Z10" s="20">
        <f>$Z$7*1000</f>
        <v>0</v>
      </c>
      <c r="AA10" s="10">
        <v>0</v>
      </c>
      <c r="AB10" s="20">
        <f>(R10+X10+Z10)</f>
        <v>65</v>
      </c>
      <c r="AD10" s="20"/>
      <c r="AE10" s="20"/>
      <c r="AF10" s="25">
        <f t="shared" ref="AF10:AF30" si="4">J10+N10</f>
        <v>890</v>
      </c>
      <c r="AG10" s="25">
        <f>AB10+K10</f>
        <v>65</v>
      </c>
      <c r="AH10" s="25">
        <f t="shared" ref="AH10:AH30" si="5">L10+V10</f>
        <v>45</v>
      </c>
      <c r="AI10" s="25">
        <f>SUM(AF10:AH10)</f>
        <v>1000</v>
      </c>
      <c r="AK10" s="25">
        <f t="shared" ref="AK10:AK30" si="6">I10</f>
        <v>0</v>
      </c>
      <c r="AL10" s="25">
        <f t="shared" ref="AL10:AL30" si="7">P10</f>
        <v>13.553299492385786</v>
      </c>
      <c r="AM10" s="25">
        <f t="shared" ref="AM10:AM30" si="8">T10</f>
        <v>0</v>
      </c>
      <c r="AN10" s="26">
        <v>0</v>
      </c>
      <c r="AO10" s="25">
        <f t="shared" ref="AO10:AO30" si="9">H10</f>
        <v>0</v>
      </c>
      <c r="AP10" s="25">
        <f t="shared" ref="AP10:AP30" si="10">O10</f>
        <v>903.5532994923858</v>
      </c>
      <c r="AQ10" s="25">
        <f t="shared" ref="AQ10:AQ30" si="11">S10</f>
        <v>53</v>
      </c>
      <c r="AR10" s="25">
        <f t="shared" ref="AR10:AR30" si="12">V10</f>
        <v>45</v>
      </c>
      <c r="AS10" s="25">
        <f>AI10</f>
        <v>1000</v>
      </c>
      <c r="AT10" s="20">
        <f t="shared" ref="AT10:AT30" si="13">X10</f>
        <v>12</v>
      </c>
      <c r="AU10" s="20">
        <f t="shared" ref="AU10:AU30" si="14">Z10</f>
        <v>0</v>
      </c>
      <c r="AW10" s="20">
        <f>AO10/1000*$C$18*AW$7</f>
        <v>0</v>
      </c>
      <c r="AX10" s="20">
        <f>AP10/1000*$C$18*AX$7</f>
        <v>3.4045888324873097</v>
      </c>
      <c r="AY10" s="111">
        <f>IF(AQ10&lt;0,0,AQ10/1000*$C$18*AY$7)</f>
        <v>0.19970399999999999</v>
      </c>
      <c r="AZ10" s="20">
        <f>AR10/1000*$C$18*AZ$7</f>
        <v>0.33911999999999998</v>
      </c>
      <c r="BA10" s="20">
        <f>AS10/1000*$C$18*BA$7</f>
        <v>3.7679999999999998</v>
      </c>
      <c r="BB10" s="111">
        <f>IF(AT10&lt;0,0,AT10/1000*$C$18*BB$7)</f>
        <v>4.5215999999999999E-2</v>
      </c>
      <c r="BC10" s="111">
        <f>IF(AU10&lt;0,0,AU10/1000*$C$18*BC$7)</f>
        <v>0</v>
      </c>
      <c r="BE10" s="26"/>
      <c r="BF10" s="20">
        <f>AO10/1000*$C$26*BF$7</f>
        <v>0</v>
      </c>
      <c r="BG10" s="20">
        <f>AP10/1000*$C$26*BG$7</f>
        <v>0</v>
      </c>
      <c r="BH10" s="111">
        <f>IF(AQ10&lt;0,0,AQ10/1000*$C$26*BH$7)</f>
        <v>0</v>
      </c>
      <c r="BI10" s="20">
        <f>AR10/1000*$C$26*BI$7</f>
        <v>0</v>
      </c>
      <c r="BJ10" s="20">
        <f>AS10/1000*$C$26*BJ$7</f>
        <v>0</v>
      </c>
      <c r="BK10" s="111">
        <f>IF(AT10&lt;0,0,AT10/1000*$C$26*BK$7)</f>
        <v>0</v>
      </c>
      <c r="BL10" s="111">
        <f>IF(AU10&lt;0,0,AU10/1000*$C$26*BL$7)</f>
        <v>0</v>
      </c>
      <c r="BO10" s="20">
        <f>AO10/1000*$C$28*BO$7</f>
        <v>0</v>
      </c>
      <c r="BP10" s="20">
        <f>AP10/1000*$C$28*BP$7</f>
        <v>0</v>
      </c>
      <c r="BQ10" s="111">
        <f>IF(AQ10&lt;0,0,AQ10/1000*$C$28*BQ$7)</f>
        <v>0</v>
      </c>
      <c r="BR10" s="20">
        <f>AR10/1000*$C$28*BR$7</f>
        <v>0</v>
      </c>
      <c r="BS10" s="20">
        <f>AS10/1000*$C$28*BS$7</f>
        <v>0</v>
      </c>
      <c r="BT10" s="111">
        <f t="shared" ref="BT10:BU10" si="15">IF(AT10&lt;0,0,AT10/1000*$C$28*BT$7)</f>
        <v>0</v>
      </c>
      <c r="BU10" s="111">
        <f t="shared" si="15"/>
        <v>0</v>
      </c>
      <c r="BW10" s="26"/>
      <c r="BX10" s="20">
        <f>AO10/1000*$C$30*BX$7</f>
        <v>0</v>
      </c>
      <c r="BY10" s="20">
        <f>AP10/1000*$C$30*BY$7</f>
        <v>0</v>
      </c>
      <c r="BZ10" s="111">
        <f>IF(AQ10&lt;0,0,AQ10/1000*$C$30*BZ$7)</f>
        <v>0</v>
      </c>
      <c r="CA10" s="20">
        <f>AR10/1000*$C$30*CA$7</f>
        <v>0</v>
      </c>
      <c r="CB10" s="20">
        <f>AS10/1000*$C$30*CB$7</f>
        <v>0</v>
      </c>
      <c r="CC10" s="111">
        <f t="shared" ref="CC10:CD10" si="16">IF(AT10&lt;0,0,AT10/1000*$C$30*CC$7)</f>
        <v>0</v>
      </c>
      <c r="CD10" s="111">
        <f t="shared" si="16"/>
        <v>0</v>
      </c>
      <c r="CG10" s="20">
        <f t="shared" ref="CG10:CG30" si="17">H10*$C$10</f>
        <v>0</v>
      </c>
      <c r="CH10" s="20">
        <f>O10*$C$12</f>
        <v>2.2679187817258883</v>
      </c>
      <c r="CI10" s="75">
        <f>IF(S10&lt;0,0,S10*$C$22)</f>
        <v>0.13303000000000001</v>
      </c>
      <c r="CJ10" s="75">
        <f>IF(V10&lt;0,0,V10*$C$14)</f>
        <v>16.425000000000001</v>
      </c>
      <c r="CK10" s="75">
        <f>IF(X10&lt;0,0,X10*$C$24)</f>
        <v>9.2880000000000003</v>
      </c>
      <c r="CL10" s="75">
        <f>IF(Z10&lt;0,0,Z10*$C$16)</f>
        <v>0</v>
      </c>
      <c r="CM10" s="36">
        <f>SUM(CG10:CL10)</f>
        <v>28.113948781725888</v>
      </c>
      <c r="CO10" s="10">
        <v>0</v>
      </c>
      <c r="CP10" s="12" t="s">
        <v>263</v>
      </c>
      <c r="CQ10" s="102">
        <f t="shared" ref="CQ10:CQ30" si="18">CM10</f>
        <v>28.113948781725888</v>
      </c>
      <c r="CR10" s="102">
        <f>SUM(AW10:AZ10,BB10:BC10,BF10:BI10,BK10:BL10,BO10:BR10,BT10:BU10,BX10:CA10,CC10:CD10)</f>
        <v>3.9886288324873096</v>
      </c>
      <c r="CS10" s="102">
        <f t="shared" ref="CS10:CS30" si="19">SUM(BB43:BC43)</f>
        <v>18.157621050728245</v>
      </c>
      <c r="CT10" s="102">
        <f>BA10+BJ10+BS10+CB10</f>
        <v>3.7679999999999998</v>
      </c>
      <c r="CU10" s="36">
        <f>SUM(CQ10:CT10)</f>
        <v>54.028198664941442</v>
      </c>
      <c r="CV10" s="103">
        <f t="shared" ref="CV10:CV30" si="20">CU10/$CU$10</f>
        <v>1</v>
      </c>
      <c r="CW10" s="20">
        <f t="shared" ref="CW10:CW30" si="21">AJ43</f>
        <v>5.9014233949204176</v>
      </c>
      <c r="CY10" s="10">
        <v>0</v>
      </c>
      <c r="CZ10" s="12" t="s">
        <v>263</v>
      </c>
      <c r="DA10" s="102">
        <f>CQ10*$DD$7</f>
        <v>71.662455444619283</v>
      </c>
      <c r="DB10" s="102">
        <f>CR10*$DD$7</f>
        <v>10.167014894010151</v>
      </c>
      <c r="DC10" s="102">
        <f>CS10*$DD$7</f>
        <v>46.283776058306294</v>
      </c>
      <c r="DD10" s="102">
        <f>CT10*$DD$7</f>
        <v>9.6046319999999987</v>
      </c>
      <c r="DE10" s="36">
        <f>SUM(DA10:DD10)</f>
        <v>137.71787839693573</v>
      </c>
      <c r="DF10" s="103">
        <f t="shared" ref="DF10:DF30" si="22">DE10/$DE$10</f>
        <v>1</v>
      </c>
      <c r="DG10" s="20"/>
    </row>
    <row r="11" spans="2:111" x14ac:dyDescent="0.25">
      <c r="B11" s="18"/>
      <c r="C11" s="66"/>
      <c r="D11" s="52"/>
      <c r="F11" s="105">
        <v>0.05</v>
      </c>
      <c r="G11" s="10">
        <f>1000*F11</f>
        <v>50</v>
      </c>
      <c r="H11" s="20">
        <f t="shared" ref="H11" si="23">G11/(1-$I$7)</f>
        <v>50.761421319796952</v>
      </c>
      <c r="I11" s="20">
        <f t="shared" ref="I11" si="24">H11*$I$7</f>
        <v>0.76142131979695427</v>
      </c>
      <c r="J11" s="20">
        <f t="shared" ref="J11" si="25">G11*$J$7</f>
        <v>43</v>
      </c>
      <c r="K11" s="20">
        <f t="shared" ref="K11" si="26">G11*$K$7</f>
        <v>5</v>
      </c>
      <c r="L11" s="20">
        <f t="shared" ref="L11" si="27">G11*$L$7</f>
        <v>2</v>
      </c>
      <c r="M11" s="10">
        <f>M10+5</f>
        <v>5</v>
      </c>
      <c r="N11" s="20">
        <f t="shared" ref="N11:N20" si="28">$N$7*1000-J11</f>
        <v>847</v>
      </c>
      <c r="O11" s="20">
        <f t="shared" ref="O11:O20" si="29">N11/(1-$P$7)</f>
        <v>859.89847715736039</v>
      </c>
      <c r="P11" s="20">
        <f t="shared" ref="P11:P20" si="30">O11*$P$7</f>
        <v>12.898477157360405</v>
      </c>
      <c r="Q11" s="10">
        <f>Q10+5</f>
        <v>5</v>
      </c>
      <c r="R11" s="20">
        <f t="shared" ref="R11:R30" si="31">$R$7*1000-$K11</f>
        <v>48</v>
      </c>
      <c r="S11" s="20">
        <f t="shared" ref="S11" si="32">R11/(1-$T$7)</f>
        <v>48</v>
      </c>
      <c r="T11" s="20">
        <f t="shared" ref="T11" si="33">S11*$T$7</f>
        <v>0</v>
      </c>
      <c r="U11" s="10">
        <f>U10+5</f>
        <v>5</v>
      </c>
      <c r="V11" s="20">
        <f t="shared" ref="V11:V20" si="34">$V$7*1000-L11</f>
        <v>43</v>
      </c>
      <c r="X11" s="20">
        <f t="shared" ref="X11:X30" si="35">$X$7*1000</f>
        <v>12</v>
      </c>
      <c r="Z11" s="20">
        <f t="shared" ref="Z11:Z30" si="36">$Z$7*1000</f>
        <v>0</v>
      </c>
      <c r="AA11" s="10">
        <f>AA10+5</f>
        <v>5</v>
      </c>
      <c r="AB11" s="20">
        <f t="shared" ref="AB11:AB30" si="37">(R11+X11+Z11)</f>
        <v>60</v>
      </c>
      <c r="AD11" s="20"/>
      <c r="AE11" s="20"/>
      <c r="AF11" s="25">
        <f t="shared" si="4"/>
        <v>890</v>
      </c>
      <c r="AG11" s="25">
        <f t="shared" ref="AG11:AG30" si="38">AB11+K11</f>
        <v>65</v>
      </c>
      <c r="AH11" s="25">
        <f t="shared" si="5"/>
        <v>45</v>
      </c>
      <c r="AI11" s="25">
        <f t="shared" ref="AI11:AI20" si="39">SUM(AF11:AH11)</f>
        <v>1000</v>
      </c>
      <c r="AK11" s="25">
        <f t="shared" si="6"/>
        <v>0.76142131979695427</v>
      </c>
      <c r="AL11" s="25">
        <f t="shared" si="7"/>
        <v>12.898477157360405</v>
      </c>
      <c r="AM11" s="25">
        <f t="shared" si="8"/>
        <v>0</v>
      </c>
      <c r="AN11" s="26">
        <v>5</v>
      </c>
      <c r="AO11" s="25">
        <f t="shared" si="9"/>
        <v>50.761421319796952</v>
      </c>
      <c r="AP11" s="25">
        <f t="shared" si="10"/>
        <v>859.89847715736039</v>
      </c>
      <c r="AQ11" s="25">
        <f t="shared" si="11"/>
        <v>48</v>
      </c>
      <c r="AR11" s="25">
        <f t="shared" si="12"/>
        <v>43</v>
      </c>
      <c r="AS11" s="25">
        <f t="shared" ref="AS11:AS20" si="40">AI11</f>
        <v>1000</v>
      </c>
      <c r="AT11" s="20">
        <f t="shared" si="13"/>
        <v>12</v>
      </c>
      <c r="AU11" s="20">
        <f t="shared" si="14"/>
        <v>0</v>
      </c>
      <c r="AW11" s="20">
        <f t="shared" ref="AW11:AW30" si="41">AO11/1000*$C$18*AW$7</f>
        <v>0.1912690355329949</v>
      </c>
      <c r="AX11" s="20">
        <f t="shared" ref="AX11:AX30" si="42">AP11/1000*$C$18*AX$7</f>
        <v>3.2400974619289333</v>
      </c>
      <c r="AY11" s="111">
        <f t="shared" ref="AY11:AY30" si="43">IF(AQ11&lt;0,0,AQ11/1000*$C$18*AY$7)</f>
        <v>0.180864</v>
      </c>
      <c r="AZ11" s="20">
        <f t="shared" ref="AZ11:AZ30" si="44">AR11/1000*$C$18*AZ$7</f>
        <v>0.32404799999999995</v>
      </c>
      <c r="BA11" s="20">
        <f t="shared" ref="BA11:BA30" si="45">AS11/1000*$C$18*BA$7</f>
        <v>3.7679999999999998</v>
      </c>
      <c r="BB11" s="111">
        <f t="shared" ref="BB11:BB30" si="46">IF(AT11&lt;0,0,AT11/1000*$C$18*BB$7)</f>
        <v>4.5215999999999999E-2</v>
      </c>
      <c r="BC11" s="111">
        <f t="shared" ref="BC11:BC30" si="47">IF(AU11&lt;0,0,AU11/1000*$C$18*BC$7)</f>
        <v>0</v>
      </c>
      <c r="BE11" s="26"/>
      <c r="BF11" s="20">
        <f t="shared" ref="BF11:BF30" si="48">AO11/1000*$C$26*BF$7</f>
        <v>0</v>
      </c>
      <c r="BG11" s="20">
        <f t="shared" ref="BG11:BJ25" si="49">AP11/1000*$C$26*BG$7</f>
        <v>0</v>
      </c>
      <c r="BH11" s="111">
        <f t="shared" ref="BH11:BH30" si="50">IF(AQ11&lt;0,0,AQ11/1000*$C$26*BH$7)</f>
        <v>0</v>
      </c>
      <c r="BI11" s="20">
        <f t="shared" si="49"/>
        <v>0</v>
      </c>
      <c r="BJ11" s="20">
        <f t="shared" si="49"/>
        <v>0</v>
      </c>
      <c r="BK11" s="111">
        <f t="shared" ref="BK11:BL30" si="51">IF(AT11&lt;0,0,AT11/1000*$C$26*BK$7)</f>
        <v>0</v>
      </c>
      <c r="BL11" s="111">
        <f t="shared" si="51"/>
        <v>0</v>
      </c>
      <c r="BO11" s="20">
        <f t="shared" ref="BO11:BO30" si="52">AO11/1000*$C$28*BO$7</f>
        <v>0</v>
      </c>
      <c r="BP11" s="20">
        <f t="shared" ref="BP11:BP30" si="53">AP11/1000*$C$28*BP$7</f>
        <v>0</v>
      </c>
      <c r="BQ11" s="111">
        <f t="shared" ref="BQ11:BQ30" si="54">IF(AQ11&lt;0,0,AQ11/1000*$C$28*BQ$7)</f>
        <v>0</v>
      </c>
      <c r="BR11" s="20">
        <f t="shared" ref="BR11:BR30" si="55">AR11/1000*$C$28*BR$7</f>
        <v>0</v>
      </c>
      <c r="BS11" s="20">
        <f t="shared" ref="BS11:BS30" si="56">AS11/1000*$C$28*BS$7</f>
        <v>0</v>
      </c>
      <c r="BT11" s="111">
        <f t="shared" ref="BT11:BT30" si="57">IF(AT11&lt;0,0,AT11/1000*$C$28*BT$7)</f>
        <v>0</v>
      </c>
      <c r="BU11" s="111">
        <f t="shared" ref="BU11:BU30" si="58">IF(AU11&lt;0,0,AU11/1000*$C$28*BU$7)</f>
        <v>0</v>
      </c>
      <c r="BW11" s="26"/>
      <c r="BX11" s="20">
        <f t="shared" ref="BX11:BX30" si="59">AO11/1000*$C$30*BX$7</f>
        <v>0</v>
      </c>
      <c r="BY11" s="20">
        <f t="shared" ref="BY11:BY30" si="60">AP11/1000*$C$30*BY$7</f>
        <v>0</v>
      </c>
      <c r="BZ11" s="111">
        <f t="shared" ref="BZ11:BZ30" si="61">IF(AQ11&lt;0,0,AQ11/1000*$C$30*BZ$7)</f>
        <v>0</v>
      </c>
      <c r="CA11" s="20">
        <f t="shared" ref="CA11:CA30" si="62">AR11/1000*$C$30*CA$7</f>
        <v>0</v>
      </c>
      <c r="CB11" s="20">
        <f t="shared" ref="CB11:CB30" si="63">AS11/1000*$C$30*CB$7</f>
        <v>0</v>
      </c>
      <c r="CC11" s="111">
        <f t="shared" ref="CC11:CC30" si="64">IF(AT11&lt;0,0,AT11/1000*$C$30*CC$7)</f>
        <v>0</v>
      </c>
      <c r="CD11" s="111">
        <f t="shared" ref="CD11:CD30" si="65">IF(AU11&lt;0,0,AU11/1000*$C$30*CD$7)</f>
        <v>0</v>
      </c>
      <c r="CG11" s="20">
        <f t="shared" si="17"/>
        <v>0.1248730964467005</v>
      </c>
      <c r="CH11" s="20">
        <f t="shared" ref="CH11:CH30" si="66">O11*$C$12</f>
        <v>2.1583451776649745</v>
      </c>
      <c r="CI11" s="75">
        <f t="shared" ref="CI11:CI30" si="67">IF(S11&lt;0,0,S11*$C$22)</f>
        <v>0.12048</v>
      </c>
      <c r="CJ11" s="75">
        <f t="shared" ref="CJ11:CJ30" si="68">IF(V11&lt;0,0,V11*$C$14)</f>
        <v>15.695</v>
      </c>
      <c r="CK11" s="75">
        <f t="shared" ref="CK11:CK29" si="69">IF(X11&lt;0,0,X11*$C$24)</f>
        <v>9.2880000000000003</v>
      </c>
      <c r="CL11" s="75">
        <f t="shared" ref="CL11:CL30" si="70">IF(Z11&lt;0,0,Z11*$C$16)</f>
        <v>0</v>
      </c>
      <c r="CM11" s="36">
        <f t="shared" ref="CM11:CM30" si="71">SUM(CG11:CL11)</f>
        <v>27.386698274111676</v>
      </c>
      <c r="CO11" s="10">
        <f>CO10+5</f>
        <v>5</v>
      </c>
      <c r="CP11" s="53" t="s">
        <v>264</v>
      </c>
      <c r="CQ11" s="102">
        <f t="shared" si="18"/>
        <v>27.386698274111676</v>
      </c>
      <c r="CR11" s="102">
        <f t="shared" ref="CR11:CR30" si="72">SUM(AW11:AZ11,BB11:BC11,BF11:BI11,BK11:BL11,BO11:BR11,BT11:BU11,BX11:CA11,CC11:CD11)</f>
        <v>3.9814944974619282</v>
      </c>
      <c r="CS11" s="102">
        <f t="shared" si="19"/>
        <v>17.497547145648785</v>
      </c>
      <c r="CT11" s="102">
        <f t="shared" ref="CT11:CT30" si="73">BA11+BJ11+BS11+CB11</f>
        <v>3.7679999999999998</v>
      </c>
      <c r="CU11" s="36">
        <f t="shared" ref="CU11" si="74">SUM(CQ11:CT11)</f>
        <v>52.633739917222385</v>
      </c>
      <c r="CV11" s="103">
        <f t="shared" si="20"/>
        <v>0.97419016768693578</v>
      </c>
      <c r="CW11" s="20">
        <f t="shared" si="21"/>
        <v>5.6764913479178718</v>
      </c>
      <c r="CY11" s="10">
        <f>CY10+5</f>
        <v>5</v>
      </c>
      <c r="CZ11" s="53" t="s">
        <v>264</v>
      </c>
      <c r="DA11" s="102">
        <f t="shared" ref="DA11:DA30" si="75">CQ11*$DD$7</f>
        <v>69.808693900710665</v>
      </c>
      <c r="DB11" s="102">
        <f t="shared" ref="DB11:DB30" si="76">CR11*$DD$7</f>
        <v>10.148829474030455</v>
      </c>
      <c r="DC11" s="102">
        <f t="shared" ref="DC11:DC30" si="77">CS11*$DD$7</f>
        <v>44.601247674258751</v>
      </c>
      <c r="DD11" s="102">
        <f t="shared" ref="DD11:DD30" si="78">CT11*$DD$7</f>
        <v>9.6046319999999987</v>
      </c>
      <c r="DE11" s="36">
        <f t="shared" ref="DE11" si="79">SUM(DA11:DD11)</f>
        <v>134.16340304899987</v>
      </c>
      <c r="DF11" s="103">
        <f t="shared" si="22"/>
        <v>0.97419016768693589</v>
      </c>
      <c r="DG11" s="20"/>
    </row>
    <row r="12" spans="2:111" x14ac:dyDescent="0.25">
      <c r="B12" s="18" t="s">
        <v>16</v>
      </c>
      <c r="C12" s="126">
        <f>D69</f>
        <v>2.5100000000000001E-3</v>
      </c>
      <c r="D12" s="52" t="s">
        <v>159</v>
      </c>
      <c r="F12" s="105">
        <v>0.1</v>
      </c>
      <c r="G12" s="10">
        <f t="shared" ref="G12" si="80">1000*F12</f>
        <v>100</v>
      </c>
      <c r="H12" s="20">
        <f t="shared" ref="H12" si="81">G12/(1-$I$7)</f>
        <v>101.5228426395939</v>
      </c>
      <c r="I12" s="20">
        <f t="shared" si="0"/>
        <v>1.5228426395939085</v>
      </c>
      <c r="J12" s="20">
        <f>G12*$J$7</f>
        <v>86</v>
      </c>
      <c r="K12" s="20">
        <f t="shared" ref="K12" si="82">G12*$K$7</f>
        <v>10</v>
      </c>
      <c r="L12" s="20">
        <f t="shared" si="1"/>
        <v>4</v>
      </c>
      <c r="M12" s="10">
        <f t="shared" ref="M12:M30" si="83">M11+5</f>
        <v>10</v>
      </c>
      <c r="N12" s="20">
        <f t="shared" si="28"/>
        <v>804</v>
      </c>
      <c r="O12" s="20">
        <f t="shared" si="29"/>
        <v>816.24365482233509</v>
      </c>
      <c r="P12" s="20">
        <f t="shared" si="30"/>
        <v>12.243654822335026</v>
      </c>
      <c r="Q12" s="10">
        <f t="shared" ref="Q12:Q30" si="84">Q11+5</f>
        <v>10</v>
      </c>
      <c r="R12" s="20">
        <f t="shared" si="31"/>
        <v>43</v>
      </c>
      <c r="S12" s="20">
        <f t="shared" ref="S12:S20" si="85">R12/(1-$T$7)</f>
        <v>43</v>
      </c>
      <c r="T12" s="20">
        <f t="shared" ref="T12:T20" si="86">S12*$T$7</f>
        <v>0</v>
      </c>
      <c r="U12" s="10">
        <f t="shared" ref="U12:U30" si="87">U11+5</f>
        <v>10</v>
      </c>
      <c r="V12" s="20">
        <f t="shared" si="34"/>
        <v>41</v>
      </c>
      <c r="X12" s="20">
        <f t="shared" si="35"/>
        <v>12</v>
      </c>
      <c r="Z12" s="20">
        <f t="shared" si="36"/>
        <v>0</v>
      </c>
      <c r="AA12" s="10">
        <f t="shared" ref="AA12:AA30" si="88">AA11+5</f>
        <v>10</v>
      </c>
      <c r="AB12" s="20">
        <f t="shared" si="37"/>
        <v>55</v>
      </c>
      <c r="AC12" s="20"/>
      <c r="AD12" s="20"/>
      <c r="AE12" s="20"/>
      <c r="AF12" s="25">
        <f t="shared" si="4"/>
        <v>890</v>
      </c>
      <c r="AG12" s="25">
        <f t="shared" si="38"/>
        <v>65</v>
      </c>
      <c r="AH12" s="25">
        <f t="shared" si="5"/>
        <v>45</v>
      </c>
      <c r="AI12" s="25">
        <f t="shared" si="39"/>
        <v>1000</v>
      </c>
      <c r="AK12" s="25">
        <f t="shared" si="6"/>
        <v>1.5228426395939085</v>
      </c>
      <c r="AL12" s="25">
        <f t="shared" si="7"/>
        <v>12.243654822335026</v>
      </c>
      <c r="AM12" s="25">
        <f t="shared" si="8"/>
        <v>0</v>
      </c>
      <c r="AN12" s="26">
        <v>10</v>
      </c>
      <c r="AO12" s="25">
        <f t="shared" si="9"/>
        <v>101.5228426395939</v>
      </c>
      <c r="AP12" s="25">
        <f t="shared" si="10"/>
        <v>816.24365482233509</v>
      </c>
      <c r="AQ12" s="25">
        <f t="shared" si="11"/>
        <v>43</v>
      </c>
      <c r="AR12" s="25">
        <f t="shared" si="12"/>
        <v>41</v>
      </c>
      <c r="AS12" s="25">
        <f t="shared" si="40"/>
        <v>1000</v>
      </c>
      <c r="AT12" s="20">
        <f t="shared" si="13"/>
        <v>12</v>
      </c>
      <c r="AU12" s="20">
        <f t="shared" si="14"/>
        <v>0</v>
      </c>
      <c r="AW12" s="20">
        <f t="shared" si="41"/>
        <v>0.3825380710659898</v>
      </c>
      <c r="AX12" s="20">
        <f t="shared" si="42"/>
        <v>3.0756060913705587</v>
      </c>
      <c r="AY12" s="111">
        <f t="shared" si="43"/>
        <v>0.16202399999999997</v>
      </c>
      <c r="AZ12" s="20">
        <f t="shared" si="44"/>
        <v>0.30897599999999997</v>
      </c>
      <c r="BA12" s="20">
        <f t="shared" si="45"/>
        <v>3.7679999999999998</v>
      </c>
      <c r="BB12" s="111">
        <f t="shared" si="46"/>
        <v>4.5215999999999999E-2</v>
      </c>
      <c r="BC12" s="111">
        <f t="shared" si="47"/>
        <v>0</v>
      </c>
      <c r="BE12" s="26"/>
      <c r="BF12" s="20">
        <f t="shared" si="48"/>
        <v>0</v>
      </c>
      <c r="BG12" s="20">
        <f t="shared" si="49"/>
        <v>0</v>
      </c>
      <c r="BH12" s="111">
        <f t="shared" si="50"/>
        <v>0</v>
      </c>
      <c r="BI12" s="20">
        <f t="shared" si="49"/>
        <v>0</v>
      </c>
      <c r="BJ12" s="20">
        <f t="shared" si="49"/>
        <v>0</v>
      </c>
      <c r="BK12" s="111">
        <f t="shared" si="51"/>
        <v>0</v>
      </c>
      <c r="BL12" s="111">
        <f t="shared" si="51"/>
        <v>0</v>
      </c>
      <c r="BO12" s="20">
        <f t="shared" si="52"/>
        <v>0</v>
      </c>
      <c r="BP12" s="20">
        <f t="shared" si="53"/>
        <v>0</v>
      </c>
      <c r="BQ12" s="111">
        <f t="shared" si="54"/>
        <v>0</v>
      </c>
      <c r="BR12" s="20">
        <f t="shared" si="55"/>
        <v>0</v>
      </c>
      <c r="BS12" s="20">
        <f t="shared" si="56"/>
        <v>0</v>
      </c>
      <c r="BT12" s="111">
        <f t="shared" si="57"/>
        <v>0</v>
      </c>
      <c r="BU12" s="111">
        <f t="shared" si="58"/>
        <v>0</v>
      </c>
      <c r="BW12" s="26"/>
      <c r="BX12" s="20">
        <f t="shared" si="59"/>
        <v>0</v>
      </c>
      <c r="BY12" s="20">
        <f t="shared" si="60"/>
        <v>0</v>
      </c>
      <c r="BZ12" s="111">
        <f t="shared" si="61"/>
        <v>0</v>
      </c>
      <c r="CA12" s="20">
        <f t="shared" si="62"/>
        <v>0</v>
      </c>
      <c r="CB12" s="20">
        <f t="shared" si="63"/>
        <v>0</v>
      </c>
      <c r="CC12" s="111">
        <f t="shared" si="64"/>
        <v>0</v>
      </c>
      <c r="CD12" s="111">
        <f t="shared" si="65"/>
        <v>0</v>
      </c>
      <c r="CG12" s="20">
        <f t="shared" si="17"/>
        <v>0.249746192893401</v>
      </c>
      <c r="CH12" s="20">
        <f t="shared" si="66"/>
        <v>2.048771573604061</v>
      </c>
      <c r="CI12" s="75">
        <f t="shared" si="67"/>
        <v>0.10793</v>
      </c>
      <c r="CJ12" s="75">
        <f t="shared" si="68"/>
        <v>14.965</v>
      </c>
      <c r="CK12" s="75">
        <f t="shared" si="69"/>
        <v>9.2880000000000003</v>
      </c>
      <c r="CL12" s="75">
        <f t="shared" si="70"/>
        <v>0</v>
      </c>
      <c r="CM12" s="36">
        <f t="shared" si="71"/>
        <v>26.659447766497461</v>
      </c>
      <c r="CO12" s="10">
        <f t="shared" ref="CO12:CO30" si="89">CO11+5</f>
        <v>10</v>
      </c>
      <c r="CP12" s="12" t="s">
        <v>265</v>
      </c>
      <c r="CQ12" s="102">
        <f t="shared" si="18"/>
        <v>26.659447766497461</v>
      </c>
      <c r="CR12" s="102">
        <f t="shared" si="72"/>
        <v>3.9743601624365485</v>
      </c>
      <c r="CS12" s="102">
        <f t="shared" si="19"/>
        <v>16.837544534686973</v>
      </c>
      <c r="CT12" s="102">
        <f t="shared" si="73"/>
        <v>3.7679999999999998</v>
      </c>
      <c r="CU12" s="36">
        <f t="shared" ref="CU12:CU20" si="90">SUM(CQ12:CT12)</f>
        <v>51.239352463620989</v>
      </c>
      <c r="CV12" s="103">
        <f t="shared" si="20"/>
        <v>0.94838165494623239</v>
      </c>
      <c r="CW12" s="20">
        <f t="shared" si="21"/>
        <v>5.4515593009153269</v>
      </c>
      <c r="CY12" s="10">
        <f t="shared" ref="CY12:CY30" si="91">CY11+5</f>
        <v>10</v>
      </c>
      <c r="CZ12" s="12" t="s">
        <v>265</v>
      </c>
      <c r="DA12" s="102">
        <f t="shared" si="75"/>
        <v>67.954932356802033</v>
      </c>
      <c r="DB12" s="102">
        <f t="shared" si="76"/>
        <v>10.130644054050762</v>
      </c>
      <c r="DC12" s="102">
        <f t="shared" si="77"/>
        <v>42.91890101891709</v>
      </c>
      <c r="DD12" s="102">
        <f t="shared" si="78"/>
        <v>9.6046319999999987</v>
      </c>
      <c r="DE12" s="36">
        <f t="shared" ref="DE12:DE20" si="92">SUM(DA12:DD12)</f>
        <v>130.60910942976989</v>
      </c>
      <c r="DF12" s="103">
        <f t="shared" si="22"/>
        <v>0.94838165494623239</v>
      </c>
      <c r="DG12" s="20"/>
    </row>
    <row r="13" spans="2:111" x14ac:dyDescent="0.25">
      <c r="B13" s="18"/>
      <c r="C13" s="66"/>
      <c r="D13" s="52"/>
      <c r="F13" s="105">
        <v>0.15</v>
      </c>
      <c r="G13" s="10">
        <f t="shared" ref="G13:G20" si="93">1000*F13</f>
        <v>150</v>
      </c>
      <c r="H13" s="20">
        <f t="shared" ref="H13:H20" si="94">G13/(1-$I$7)</f>
        <v>152.28426395939087</v>
      </c>
      <c r="I13" s="20">
        <f t="shared" ref="I13:I20" si="95">H13*$I$7</f>
        <v>2.2842639593908629</v>
      </c>
      <c r="J13" s="20">
        <f>G13*$J$7</f>
        <v>129</v>
      </c>
      <c r="K13" s="20">
        <f t="shared" ref="K13:K20" si="96">G13*$K$7</f>
        <v>15</v>
      </c>
      <c r="L13" s="20">
        <f t="shared" ref="L13:L20" si="97">G13*$L$7</f>
        <v>6</v>
      </c>
      <c r="M13" s="10">
        <f t="shared" si="83"/>
        <v>15</v>
      </c>
      <c r="N13" s="20">
        <f t="shared" si="28"/>
        <v>761</v>
      </c>
      <c r="O13" s="20">
        <f t="shared" si="29"/>
        <v>772.58883248730967</v>
      </c>
      <c r="P13" s="20">
        <f t="shared" si="30"/>
        <v>11.588832487309645</v>
      </c>
      <c r="Q13" s="10">
        <f t="shared" si="84"/>
        <v>15</v>
      </c>
      <c r="R13" s="20">
        <f t="shared" si="31"/>
        <v>38</v>
      </c>
      <c r="S13" s="20">
        <f t="shared" ref="S13:S19" si="98">R13/(1-$T$7)</f>
        <v>38</v>
      </c>
      <c r="T13" s="20">
        <f t="shared" ref="T13:T19" si="99">S13*$T$7</f>
        <v>0</v>
      </c>
      <c r="U13" s="10">
        <f t="shared" si="87"/>
        <v>15</v>
      </c>
      <c r="V13" s="20">
        <f t="shared" si="34"/>
        <v>39</v>
      </c>
      <c r="X13" s="20">
        <f t="shared" si="35"/>
        <v>12</v>
      </c>
      <c r="Z13" s="20">
        <f t="shared" si="36"/>
        <v>0</v>
      </c>
      <c r="AA13" s="10">
        <f t="shared" si="88"/>
        <v>15</v>
      </c>
      <c r="AB13" s="20">
        <f t="shared" si="37"/>
        <v>50</v>
      </c>
      <c r="AC13" s="20"/>
      <c r="AD13" s="20"/>
      <c r="AE13" s="20"/>
      <c r="AF13" s="25">
        <f t="shared" si="4"/>
        <v>890</v>
      </c>
      <c r="AG13" s="25">
        <f t="shared" si="38"/>
        <v>65</v>
      </c>
      <c r="AH13" s="25">
        <f t="shared" si="5"/>
        <v>45</v>
      </c>
      <c r="AI13" s="25">
        <f t="shared" si="39"/>
        <v>1000</v>
      </c>
      <c r="AK13" s="25">
        <f t="shared" si="6"/>
        <v>2.2842639593908629</v>
      </c>
      <c r="AL13" s="25">
        <f t="shared" si="7"/>
        <v>11.588832487309645</v>
      </c>
      <c r="AM13" s="25">
        <f t="shared" si="8"/>
        <v>0</v>
      </c>
      <c r="AN13" s="26">
        <v>15</v>
      </c>
      <c r="AO13" s="25">
        <f t="shared" si="9"/>
        <v>152.28426395939087</v>
      </c>
      <c r="AP13" s="25">
        <f t="shared" si="10"/>
        <v>772.58883248730967</v>
      </c>
      <c r="AQ13" s="25">
        <f t="shared" si="11"/>
        <v>38</v>
      </c>
      <c r="AR13" s="25">
        <f t="shared" si="12"/>
        <v>39</v>
      </c>
      <c r="AS13" s="25">
        <f t="shared" si="40"/>
        <v>1000</v>
      </c>
      <c r="AT13" s="20">
        <f t="shared" si="13"/>
        <v>12</v>
      </c>
      <c r="AU13" s="20">
        <f t="shared" si="14"/>
        <v>0</v>
      </c>
      <c r="AW13" s="20">
        <f t="shared" si="41"/>
        <v>0.57380710659898482</v>
      </c>
      <c r="AX13" s="20">
        <f t="shared" si="42"/>
        <v>2.9111147208121828</v>
      </c>
      <c r="AY13" s="111">
        <f t="shared" si="43"/>
        <v>0.14318400000000001</v>
      </c>
      <c r="AZ13" s="20">
        <f t="shared" si="44"/>
        <v>0.293904</v>
      </c>
      <c r="BA13" s="20">
        <f t="shared" si="45"/>
        <v>3.7679999999999998</v>
      </c>
      <c r="BB13" s="111">
        <f t="shared" si="46"/>
        <v>4.5215999999999999E-2</v>
      </c>
      <c r="BC13" s="111">
        <f t="shared" si="47"/>
        <v>0</v>
      </c>
      <c r="BE13" s="26"/>
      <c r="BF13" s="20">
        <f t="shared" si="48"/>
        <v>0</v>
      </c>
      <c r="BG13" s="20">
        <f t="shared" si="49"/>
        <v>0</v>
      </c>
      <c r="BH13" s="111">
        <f t="shared" si="50"/>
        <v>0</v>
      </c>
      <c r="BI13" s="20">
        <f t="shared" si="49"/>
        <v>0</v>
      </c>
      <c r="BJ13" s="20">
        <f t="shared" si="49"/>
        <v>0</v>
      </c>
      <c r="BK13" s="111">
        <f t="shared" si="51"/>
        <v>0</v>
      </c>
      <c r="BL13" s="111">
        <f t="shared" si="51"/>
        <v>0</v>
      </c>
      <c r="BO13" s="20">
        <f t="shared" si="52"/>
        <v>0</v>
      </c>
      <c r="BP13" s="20">
        <f t="shared" si="53"/>
        <v>0</v>
      </c>
      <c r="BQ13" s="111">
        <f t="shared" si="54"/>
        <v>0</v>
      </c>
      <c r="BR13" s="20">
        <f t="shared" si="55"/>
        <v>0</v>
      </c>
      <c r="BS13" s="20">
        <f t="shared" si="56"/>
        <v>0</v>
      </c>
      <c r="BT13" s="111">
        <f t="shared" si="57"/>
        <v>0</v>
      </c>
      <c r="BU13" s="111">
        <f t="shared" si="58"/>
        <v>0</v>
      </c>
      <c r="BW13" s="26"/>
      <c r="BX13" s="20">
        <f t="shared" si="59"/>
        <v>0</v>
      </c>
      <c r="BY13" s="20">
        <f t="shared" si="60"/>
        <v>0</v>
      </c>
      <c r="BZ13" s="111">
        <f t="shared" si="61"/>
        <v>0</v>
      </c>
      <c r="CA13" s="20">
        <f t="shared" si="62"/>
        <v>0</v>
      </c>
      <c r="CB13" s="20">
        <f t="shared" si="63"/>
        <v>0</v>
      </c>
      <c r="CC13" s="111">
        <f t="shared" si="64"/>
        <v>0</v>
      </c>
      <c r="CD13" s="111">
        <f t="shared" si="65"/>
        <v>0</v>
      </c>
      <c r="CG13" s="20">
        <f t="shared" si="17"/>
        <v>0.37461928934010152</v>
      </c>
      <c r="CH13" s="20">
        <f t="shared" si="66"/>
        <v>1.9391979695431474</v>
      </c>
      <c r="CI13" s="75">
        <f t="shared" si="67"/>
        <v>9.5380000000000006E-2</v>
      </c>
      <c r="CJ13" s="75">
        <f t="shared" si="68"/>
        <v>14.234999999999999</v>
      </c>
      <c r="CK13" s="75">
        <f t="shared" si="69"/>
        <v>9.2880000000000003</v>
      </c>
      <c r="CL13" s="75">
        <f t="shared" si="70"/>
        <v>0</v>
      </c>
      <c r="CM13" s="36">
        <f t="shared" si="71"/>
        <v>25.932197258883249</v>
      </c>
      <c r="CO13" s="10">
        <f t="shared" si="89"/>
        <v>15</v>
      </c>
      <c r="CP13" s="53" t="s">
        <v>266</v>
      </c>
      <c r="CQ13" s="102">
        <f t="shared" si="18"/>
        <v>25.932197258883249</v>
      </c>
      <c r="CR13" s="102">
        <f t="shared" si="72"/>
        <v>3.9672258274111676</v>
      </c>
      <c r="CS13" s="102">
        <f t="shared" si="19"/>
        <v>16.177613930783984</v>
      </c>
      <c r="CT13" s="102">
        <f t="shared" si="73"/>
        <v>3.7679999999999998</v>
      </c>
      <c r="CU13" s="36">
        <f t="shared" ref="CU13:CU19" si="100">SUM(CQ13:CT13)</f>
        <v>49.845037017078397</v>
      </c>
      <c r="CV13" s="103">
        <f t="shared" si="20"/>
        <v>0.92257447497361278</v>
      </c>
      <c r="CW13" s="20">
        <f t="shared" si="21"/>
        <v>5.2266272539127829</v>
      </c>
      <c r="CY13" s="10">
        <f t="shared" si="91"/>
        <v>15</v>
      </c>
      <c r="CZ13" s="53" t="s">
        <v>266</v>
      </c>
      <c r="DA13" s="102">
        <f t="shared" si="75"/>
        <v>66.1011708128934</v>
      </c>
      <c r="DB13" s="102">
        <f t="shared" si="76"/>
        <v>10.112458634071066</v>
      </c>
      <c r="DC13" s="102">
        <f t="shared" si="77"/>
        <v>41.236737909568376</v>
      </c>
      <c r="DD13" s="102">
        <f t="shared" si="78"/>
        <v>9.6046319999999987</v>
      </c>
      <c r="DE13" s="36">
        <f t="shared" si="92"/>
        <v>127.05499935653283</v>
      </c>
      <c r="DF13" s="103">
        <f t="shared" si="22"/>
        <v>0.92257447497361278</v>
      </c>
      <c r="DG13" s="20"/>
    </row>
    <row r="14" spans="2:111" x14ac:dyDescent="0.25">
      <c r="B14" s="18" t="s">
        <v>17</v>
      </c>
      <c r="C14" s="127">
        <f>IF(Eingabemaske!G12="nein",D70,D71)</f>
        <v>0.36499999999999999</v>
      </c>
      <c r="D14" s="10" t="s">
        <v>18</v>
      </c>
      <c r="F14" s="105">
        <v>0.2</v>
      </c>
      <c r="G14" s="10">
        <f t="shared" si="93"/>
        <v>200</v>
      </c>
      <c r="H14" s="20">
        <f t="shared" si="94"/>
        <v>203.04568527918781</v>
      </c>
      <c r="I14" s="20">
        <f t="shared" si="95"/>
        <v>3.0456852791878171</v>
      </c>
      <c r="J14" s="20">
        <f t="shared" ref="J14:J20" si="101">G14*$J$7</f>
        <v>172</v>
      </c>
      <c r="K14" s="20">
        <f t="shared" si="96"/>
        <v>20</v>
      </c>
      <c r="L14" s="20">
        <f t="shared" si="97"/>
        <v>8</v>
      </c>
      <c r="M14" s="10">
        <f t="shared" si="83"/>
        <v>20</v>
      </c>
      <c r="N14" s="20">
        <f t="shared" si="28"/>
        <v>718</v>
      </c>
      <c r="O14" s="20">
        <f t="shared" si="29"/>
        <v>728.93401015228426</v>
      </c>
      <c r="P14" s="20">
        <f t="shared" si="30"/>
        <v>10.934010152284264</v>
      </c>
      <c r="Q14" s="10">
        <f t="shared" si="84"/>
        <v>20</v>
      </c>
      <c r="R14" s="20">
        <f t="shared" si="31"/>
        <v>33</v>
      </c>
      <c r="S14" s="20">
        <f t="shared" si="98"/>
        <v>33</v>
      </c>
      <c r="T14" s="20">
        <f t="shared" si="99"/>
        <v>0</v>
      </c>
      <c r="U14" s="10">
        <f t="shared" si="87"/>
        <v>20</v>
      </c>
      <c r="V14" s="20">
        <f t="shared" si="34"/>
        <v>37</v>
      </c>
      <c r="X14" s="20">
        <f t="shared" si="35"/>
        <v>12</v>
      </c>
      <c r="Z14" s="20">
        <f t="shared" si="36"/>
        <v>0</v>
      </c>
      <c r="AA14" s="10">
        <f t="shared" si="88"/>
        <v>20</v>
      </c>
      <c r="AB14" s="20">
        <f t="shared" si="37"/>
        <v>45</v>
      </c>
      <c r="AC14" s="20"/>
      <c r="AD14" s="20"/>
      <c r="AE14" s="20"/>
      <c r="AF14" s="25">
        <f t="shared" si="4"/>
        <v>890</v>
      </c>
      <c r="AG14" s="25">
        <f t="shared" si="38"/>
        <v>65</v>
      </c>
      <c r="AH14" s="25">
        <f t="shared" si="5"/>
        <v>45</v>
      </c>
      <c r="AI14" s="25">
        <f t="shared" si="39"/>
        <v>1000</v>
      </c>
      <c r="AK14" s="25">
        <f t="shared" si="6"/>
        <v>3.0456852791878171</v>
      </c>
      <c r="AL14" s="25">
        <f t="shared" si="7"/>
        <v>10.934010152284264</v>
      </c>
      <c r="AM14" s="25">
        <f t="shared" si="8"/>
        <v>0</v>
      </c>
      <c r="AN14" s="26">
        <v>20</v>
      </c>
      <c r="AO14" s="25">
        <f t="shared" si="9"/>
        <v>203.04568527918781</v>
      </c>
      <c r="AP14" s="25">
        <f t="shared" si="10"/>
        <v>728.93401015228426</v>
      </c>
      <c r="AQ14" s="25">
        <f t="shared" si="11"/>
        <v>33</v>
      </c>
      <c r="AR14" s="25">
        <f t="shared" si="12"/>
        <v>37</v>
      </c>
      <c r="AS14" s="25">
        <f t="shared" si="40"/>
        <v>1000</v>
      </c>
      <c r="AT14" s="20">
        <f t="shared" si="13"/>
        <v>12</v>
      </c>
      <c r="AU14" s="20">
        <f t="shared" si="14"/>
        <v>0</v>
      </c>
      <c r="AW14" s="20">
        <f t="shared" si="41"/>
        <v>0.76507614213197961</v>
      </c>
      <c r="AX14" s="20">
        <f t="shared" si="42"/>
        <v>2.7466233502538064</v>
      </c>
      <c r="AY14" s="111">
        <f t="shared" si="43"/>
        <v>0.124344</v>
      </c>
      <c r="AZ14" s="20">
        <f t="shared" si="44"/>
        <v>0.27883199999999997</v>
      </c>
      <c r="BA14" s="20">
        <f t="shared" si="45"/>
        <v>3.7679999999999998</v>
      </c>
      <c r="BB14" s="111">
        <f t="shared" si="46"/>
        <v>4.5215999999999999E-2</v>
      </c>
      <c r="BC14" s="111">
        <f t="shared" si="47"/>
        <v>0</v>
      </c>
      <c r="BE14" s="26"/>
      <c r="BF14" s="20">
        <f t="shared" si="48"/>
        <v>0</v>
      </c>
      <c r="BG14" s="20">
        <f t="shared" si="49"/>
        <v>0</v>
      </c>
      <c r="BH14" s="111">
        <f t="shared" si="50"/>
        <v>0</v>
      </c>
      <c r="BI14" s="20">
        <f t="shared" si="49"/>
        <v>0</v>
      </c>
      <c r="BJ14" s="20">
        <f t="shared" si="49"/>
        <v>0</v>
      </c>
      <c r="BK14" s="111">
        <f t="shared" si="51"/>
        <v>0</v>
      </c>
      <c r="BL14" s="111">
        <f t="shared" si="51"/>
        <v>0</v>
      </c>
      <c r="BO14" s="20">
        <f t="shared" si="52"/>
        <v>0</v>
      </c>
      <c r="BP14" s="20">
        <f t="shared" si="53"/>
        <v>0</v>
      </c>
      <c r="BQ14" s="111">
        <f t="shared" si="54"/>
        <v>0</v>
      </c>
      <c r="BR14" s="20">
        <f t="shared" si="55"/>
        <v>0</v>
      </c>
      <c r="BS14" s="20">
        <f t="shared" si="56"/>
        <v>0</v>
      </c>
      <c r="BT14" s="111">
        <f t="shared" si="57"/>
        <v>0</v>
      </c>
      <c r="BU14" s="111">
        <f t="shared" si="58"/>
        <v>0</v>
      </c>
      <c r="BW14" s="26"/>
      <c r="BX14" s="20">
        <f t="shared" si="59"/>
        <v>0</v>
      </c>
      <c r="BY14" s="20">
        <f t="shared" si="60"/>
        <v>0</v>
      </c>
      <c r="BZ14" s="111">
        <f t="shared" si="61"/>
        <v>0</v>
      </c>
      <c r="CA14" s="20">
        <f t="shared" si="62"/>
        <v>0</v>
      </c>
      <c r="CB14" s="20">
        <f t="shared" si="63"/>
        <v>0</v>
      </c>
      <c r="CC14" s="111">
        <f t="shared" si="64"/>
        <v>0</v>
      </c>
      <c r="CD14" s="111">
        <f t="shared" si="65"/>
        <v>0</v>
      </c>
      <c r="CG14" s="20">
        <f t="shared" si="17"/>
        <v>0.499492385786802</v>
      </c>
      <c r="CH14" s="20">
        <f t="shared" si="66"/>
        <v>1.8296243654822335</v>
      </c>
      <c r="CI14" s="75">
        <f t="shared" si="67"/>
        <v>8.2830000000000001E-2</v>
      </c>
      <c r="CJ14" s="75">
        <f t="shared" si="68"/>
        <v>13.504999999999999</v>
      </c>
      <c r="CK14" s="75">
        <f t="shared" si="69"/>
        <v>9.2880000000000003</v>
      </c>
      <c r="CL14" s="75">
        <f t="shared" si="70"/>
        <v>0</v>
      </c>
      <c r="CM14" s="36">
        <f t="shared" si="71"/>
        <v>25.204946751269034</v>
      </c>
      <c r="CO14" s="10">
        <f t="shared" si="89"/>
        <v>20</v>
      </c>
      <c r="CP14" s="12" t="s">
        <v>267</v>
      </c>
      <c r="CQ14" s="102">
        <f t="shared" si="18"/>
        <v>25.204946751269034</v>
      </c>
      <c r="CR14" s="102">
        <f t="shared" si="72"/>
        <v>3.9600914923857857</v>
      </c>
      <c r="CS14" s="102">
        <f t="shared" si="19"/>
        <v>15.517756054010407</v>
      </c>
      <c r="CT14" s="102">
        <f t="shared" si="73"/>
        <v>3.7679999999999998</v>
      </c>
      <c r="CU14" s="36">
        <f t="shared" si="100"/>
        <v>48.450794297665226</v>
      </c>
      <c r="CV14" s="103">
        <f t="shared" si="20"/>
        <v>0.89676864109675825</v>
      </c>
      <c r="CW14" s="20">
        <f t="shared" si="21"/>
        <v>5.0016952069102381</v>
      </c>
      <c r="CY14" s="10">
        <f t="shared" si="91"/>
        <v>20</v>
      </c>
      <c r="CZ14" s="12" t="s">
        <v>267</v>
      </c>
      <c r="DA14" s="102">
        <f t="shared" si="75"/>
        <v>64.247409268984768</v>
      </c>
      <c r="DB14" s="102">
        <f t="shared" si="76"/>
        <v>10.094273214091368</v>
      </c>
      <c r="DC14" s="102">
        <f t="shared" si="77"/>
        <v>39.554760181672528</v>
      </c>
      <c r="DD14" s="102">
        <f t="shared" si="78"/>
        <v>9.6046319999999987</v>
      </c>
      <c r="DE14" s="36">
        <f t="shared" si="92"/>
        <v>123.50107466474866</v>
      </c>
      <c r="DF14" s="103">
        <f t="shared" si="22"/>
        <v>0.89676864109675825</v>
      </c>
      <c r="DG14" s="20"/>
    </row>
    <row r="15" spans="2:111" x14ac:dyDescent="0.25">
      <c r="B15" s="18"/>
      <c r="C15" s="66"/>
      <c r="F15" s="105">
        <v>0.25</v>
      </c>
      <c r="G15" s="10">
        <f t="shared" si="93"/>
        <v>250</v>
      </c>
      <c r="H15" s="20">
        <f t="shared" si="94"/>
        <v>253.80710659898477</v>
      </c>
      <c r="I15" s="20">
        <f t="shared" si="95"/>
        <v>3.8071065989847717</v>
      </c>
      <c r="J15" s="20">
        <f t="shared" si="101"/>
        <v>215</v>
      </c>
      <c r="K15" s="20">
        <f t="shared" si="96"/>
        <v>25</v>
      </c>
      <c r="L15" s="20">
        <f t="shared" si="97"/>
        <v>10</v>
      </c>
      <c r="M15" s="10">
        <f t="shared" si="83"/>
        <v>25</v>
      </c>
      <c r="N15" s="20">
        <f t="shared" si="28"/>
        <v>675</v>
      </c>
      <c r="O15" s="20">
        <f t="shared" si="29"/>
        <v>685.27918781725884</v>
      </c>
      <c r="P15" s="20">
        <f t="shared" si="30"/>
        <v>10.279187817258883</v>
      </c>
      <c r="Q15" s="10">
        <f t="shared" si="84"/>
        <v>25</v>
      </c>
      <c r="R15" s="20">
        <f t="shared" si="31"/>
        <v>28</v>
      </c>
      <c r="S15" s="20">
        <f t="shared" si="98"/>
        <v>28</v>
      </c>
      <c r="T15" s="20">
        <f t="shared" si="99"/>
        <v>0</v>
      </c>
      <c r="U15" s="10">
        <f t="shared" si="87"/>
        <v>25</v>
      </c>
      <c r="V15" s="20">
        <f t="shared" si="34"/>
        <v>35</v>
      </c>
      <c r="X15" s="20">
        <f t="shared" si="35"/>
        <v>12</v>
      </c>
      <c r="Z15" s="20">
        <f t="shared" si="36"/>
        <v>0</v>
      </c>
      <c r="AA15" s="10">
        <f t="shared" si="88"/>
        <v>25</v>
      </c>
      <c r="AB15" s="20">
        <f t="shared" si="37"/>
        <v>40</v>
      </c>
      <c r="AC15" s="20"/>
      <c r="AD15" s="20"/>
      <c r="AE15" s="20"/>
      <c r="AF15" s="25">
        <f t="shared" si="4"/>
        <v>890</v>
      </c>
      <c r="AG15" s="25">
        <f t="shared" si="38"/>
        <v>65</v>
      </c>
      <c r="AH15" s="25">
        <f t="shared" si="5"/>
        <v>45</v>
      </c>
      <c r="AI15" s="25">
        <f t="shared" si="39"/>
        <v>1000</v>
      </c>
      <c r="AK15" s="25">
        <f t="shared" si="6"/>
        <v>3.8071065989847717</v>
      </c>
      <c r="AL15" s="25">
        <f t="shared" si="7"/>
        <v>10.279187817258883</v>
      </c>
      <c r="AM15" s="25">
        <f t="shared" si="8"/>
        <v>0</v>
      </c>
      <c r="AN15" s="26">
        <v>25</v>
      </c>
      <c r="AO15" s="25">
        <f t="shared" si="9"/>
        <v>253.80710659898477</v>
      </c>
      <c r="AP15" s="25">
        <f t="shared" si="10"/>
        <v>685.27918781725884</v>
      </c>
      <c r="AQ15" s="25">
        <f t="shared" si="11"/>
        <v>28</v>
      </c>
      <c r="AR15" s="25">
        <f t="shared" si="12"/>
        <v>35</v>
      </c>
      <c r="AS15" s="25">
        <f t="shared" si="40"/>
        <v>1000</v>
      </c>
      <c r="AT15" s="20">
        <f t="shared" si="13"/>
        <v>12</v>
      </c>
      <c r="AU15" s="20">
        <f t="shared" si="14"/>
        <v>0</v>
      </c>
      <c r="AW15" s="20">
        <f t="shared" si="41"/>
        <v>0.95634517766497451</v>
      </c>
      <c r="AX15" s="20">
        <f t="shared" si="42"/>
        <v>2.582131979695431</v>
      </c>
      <c r="AY15" s="111">
        <f t="shared" si="43"/>
        <v>0.10550399999999999</v>
      </c>
      <c r="AZ15" s="20">
        <f t="shared" si="44"/>
        <v>0.26375999999999999</v>
      </c>
      <c r="BA15" s="20">
        <f t="shared" si="45"/>
        <v>3.7679999999999998</v>
      </c>
      <c r="BB15" s="111">
        <f t="shared" si="46"/>
        <v>4.5215999999999999E-2</v>
      </c>
      <c r="BC15" s="111">
        <f t="shared" si="47"/>
        <v>0</v>
      </c>
      <c r="BE15" s="26"/>
      <c r="BF15" s="20">
        <f t="shared" si="48"/>
        <v>0</v>
      </c>
      <c r="BG15" s="20">
        <f t="shared" si="49"/>
        <v>0</v>
      </c>
      <c r="BH15" s="111">
        <f t="shared" si="50"/>
        <v>0</v>
      </c>
      <c r="BI15" s="20">
        <f t="shared" si="49"/>
        <v>0</v>
      </c>
      <c r="BJ15" s="20">
        <f t="shared" si="49"/>
        <v>0</v>
      </c>
      <c r="BK15" s="111">
        <f t="shared" si="51"/>
        <v>0</v>
      </c>
      <c r="BL15" s="111">
        <f t="shared" si="51"/>
        <v>0</v>
      </c>
      <c r="BO15" s="20">
        <f t="shared" si="52"/>
        <v>0</v>
      </c>
      <c r="BP15" s="20">
        <f t="shared" si="53"/>
        <v>0</v>
      </c>
      <c r="BQ15" s="111">
        <f t="shared" si="54"/>
        <v>0</v>
      </c>
      <c r="BR15" s="20">
        <f t="shared" si="55"/>
        <v>0</v>
      </c>
      <c r="BS15" s="20">
        <f t="shared" si="56"/>
        <v>0</v>
      </c>
      <c r="BT15" s="111">
        <f t="shared" si="57"/>
        <v>0</v>
      </c>
      <c r="BU15" s="111">
        <f t="shared" si="58"/>
        <v>0</v>
      </c>
      <c r="BW15" s="26"/>
      <c r="BX15" s="20">
        <f t="shared" si="59"/>
        <v>0</v>
      </c>
      <c r="BY15" s="20">
        <f t="shared" si="60"/>
        <v>0</v>
      </c>
      <c r="BZ15" s="111">
        <f t="shared" si="61"/>
        <v>0</v>
      </c>
      <c r="CA15" s="20">
        <f t="shared" si="62"/>
        <v>0</v>
      </c>
      <c r="CB15" s="20">
        <f t="shared" si="63"/>
        <v>0</v>
      </c>
      <c r="CC15" s="111">
        <f t="shared" si="64"/>
        <v>0</v>
      </c>
      <c r="CD15" s="111">
        <f t="shared" si="65"/>
        <v>0</v>
      </c>
      <c r="CG15" s="20">
        <f t="shared" si="17"/>
        <v>0.62436548223350252</v>
      </c>
      <c r="CH15" s="20">
        <f t="shared" si="66"/>
        <v>1.7200507614213199</v>
      </c>
      <c r="CI15" s="75">
        <f t="shared" si="67"/>
        <v>7.0280000000000009E-2</v>
      </c>
      <c r="CJ15" s="75">
        <f t="shared" si="68"/>
        <v>12.775</v>
      </c>
      <c r="CK15" s="75">
        <f t="shared" si="69"/>
        <v>9.2880000000000003</v>
      </c>
      <c r="CL15" s="75">
        <f t="shared" si="70"/>
        <v>0</v>
      </c>
      <c r="CM15" s="36">
        <f t="shared" si="71"/>
        <v>24.477696243654822</v>
      </c>
      <c r="CO15" s="10">
        <f t="shared" si="89"/>
        <v>25</v>
      </c>
      <c r="CP15" s="53" t="s">
        <v>268</v>
      </c>
      <c r="CQ15" s="102">
        <f t="shared" si="18"/>
        <v>24.477696243654822</v>
      </c>
      <c r="CR15" s="102">
        <f t="shared" si="72"/>
        <v>3.9529571573604052</v>
      </c>
      <c r="CS15" s="102">
        <f t="shared" si="19"/>
        <v>14.857971631637534</v>
      </c>
      <c r="CT15" s="102">
        <f t="shared" si="73"/>
        <v>3.7679999999999998</v>
      </c>
      <c r="CU15" s="36">
        <f t="shared" si="100"/>
        <v>47.056625032652761</v>
      </c>
      <c r="CV15" s="103">
        <f t="shared" si="20"/>
        <v>0.87096416677662636</v>
      </c>
      <c r="CW15" s="20">
        <f t="shared" si="21"/>
        <v>4.7767631599076932</v>
      </c>
      <c r="CY15" s="10">
        <f t="shared" si="91"/>
        <v>25</v>
      </c>
      <c r="CZ15" s="53" t="s">
        <v>268</v>
      </c>
      <c r="DA15" s="102">
        <f t="shared" si="75"/>
        <v>62.393647725076143</v>
      </c>
      <c r="DB15" s="102">
        <f t="shared" si="76"/>
        <v>10.076087794111672</v>
      </c>
      <c r="DC15" s="102">
        <f t="shared" si="77"/>
        <v>37.872969689044076</v>
      </c>
      <c r="DD15" s="102">
        <f t="shared" si="78"/>
        <v>9.6046319999999987</v>
      </c>
      <c r="DE15" s="36">
        <f t="shared" si="92"/>
        <v>119.9473372082319</v>
      </c>
      <c r="DF15" s="103">
        <f t="shared" si="22"/>
        <v>0.87096416677662647</v>
      </c>
      <c r="DG15" s="20"/>
    </row>
    <row r="16" spans="2:111" x14ac:dyDescent="0.25">
      <c r="B16" s="18" t="s">
        <v>19</v>
      </c>
      <c r="C16" s="126">
        <f>D72</f>
        <v>8.3700000000000007E-3</v>
      </c>
      <c r="D16" s="52" t="s">
        <v>159</v>
      </c>
      <c r="F16" s="105">
        <v>0.3</v>
      </c>
      <c r="G16" s="10">
        <f t="shared" si="93"/>
        <v>300</v>
      </c>
      <c r="H16" s="20">
        <f t="shared" si="94"/>
        <v>304.56852791878174</v>
      </c>
      <c r="I16" s="20">
        <f t="shared" si="95"/>
        <v>4.5685279187817258</v>
      </c>
      <c r="J16" s="20">
        <f t="shared" si="101"/>
        <v>258</v>
      </c>
      <c r="K16" s="20">
        <f t="shared" si="96"/>
        <v>30</v>
      </c>
      <c r="L16" s="20">
        <f t="shared" si="97"/>
        <v>12</v>
      </c>
      <c r="M16" s="10">
        <f t="shared" si="83"/>
        <v>30</v>
      </c>
      <c r="N16" s="20">
        <f t="shared" si="28"/>
        <v>632</v>
      </c>
      <c r="O16" s="20">
        <f t="shared" si="29"/>
        <v>641.62436548223354</v>
      </c>
      <c r="P16" s="20">
        <f t="shared" si="30"/>
        <v>9.6243654822335021</v>
      </c>
      <c r="Q16" s="10">
        <f t="shared" si="84"/>
        <v>30</v>
      </c>
      <c r="R16" s="20">
        <f t="shared" si="31"/>
        <v>23</v>
      </c>
      <c r="S16" s="20">
        <f t="shared" si="98"/>
        <v>23</v>
      </c>
      <c r="T16" s="20">
        <f t="shared" si="99"/>
        <v>0</v>
      </c>
      <c r="U16" s="10">
        <f t="shared" si="87"/>
        <v>30</v>
      </c>
      <c r="V16" s="20">
        <f t="shared" si="34"/>
        <v>33</v>
      </c>
      <c r="X16" s="20">
        <f t="shared" si="35"/>
        <v>12</v>
      </c>
      <c r="Z16" s="20">
        <f t="shared" si="36"/>
        <v>0</v>
      </c>
      <c r="AA16" s="10">
        <f t="shared" si="88"/>
        <v>30</v>
      </c>
      <c r="AB16" s="20">
        <f t="shared" si="37"/>
        <v>35</v>
      </c>
      <c r="AC16" s="20"/>
      <c r="AD16" s="20"/>
      <c r="AE16" s="20"/>
      <c r="AF16" s="25">
        <f t="shared" si="4"/>
        <v>890</v>
      </c>
      <c r="AG16" s="25">
        <f t="shared" si="38"/>
        <v>65</v>
      </c>
      <c r="AH16" s="25">
        <f t="shared" si="5"/>
        <v>45</v>
      </c>
      <c r="AI16" s="25">
        <f t="shared" si="39"/>
        <v>1000</v>
      </c>
      <c r="AK16" s="25">
        <f t="shared" si="6"/>
        <v>4.5685279187817258</v>
      </c>
      <c r="AL16" s="25">
        <f t="shared" si="7"/>
        <v>9.6243654822335021</v>
      </c>
      <c r="AM16" s="25">
        <f t="shared" si="8"/>
        <v>0</v>
      </c>
      <c r="AN16" s="26">
        <v>30</v>
      </c>
      <c r="AO16" s="25">
        <f t="shared" si="9"/>
        <v>304.56852791878174</v>
      </c>
      <c r="AP16" s="25">
        <f t="shared" si="10"/>
        <v>641.62436548223354</v>
      </c>
      <c r="AQ16" s="25">
        <f t="shared" si="11"/>
        <v>23</v>
      </c>
      <c r="AR16" s="25">
        <f t="shared" si="12"/>
        <v>33</v>
      </c>
      <c r="AS16" s="25">
        <f t="shared" si="40"/>
        <v>1000</v>
      </c>
      <c r="AT16" s="20">
        <f t="shared" si="13"/>
        <v>12</v>
      </c>
      <c r="AU16" s="20">
        <f t="shared" si="14"/>
        <v>0</v>
      </c>
      <c r="AW16" s="20">
        <f t="shared" si="41"/>
        <v>1.1476142131979696</v>
      </c>
      <c r="AX16" s="20">
        <f t="shared" si="42"/>
        <v>2.4176406091370559</v>
      </c>
      <c r="AY16" s="111">
        <f t="shared" si="43"/>
        <v>8.6663999999999991E-2</v>
      </c>
      <c r="AZ16" s="20">
        <f t="shared" si="44"/>
        <v>0.24868799999999999</v>
      </c>
      <c r="BA16" s="20">
        <f t="shared" si="45"/>
        <v>3.7679999999999998</v>
      </c>
      <c r="BB16" s="111">
        <f t="shared" si="46"/>
        <v>4.5215999999999999E-2</v>
      </c>
      <c r="BC16" s="111">
        <f t="shared" si="47"/>
        <v>0</v>
      </c>
      <c r="BE16" s="26"/>
      <c r="BF16" s="20">
        <f t="shared" si="48"/>
        <v>0</v>
      </c>
      <c r="BG16" s="20">
        <f t="shared" si="49"/>
        <v>0</v>
      </c>
      <c r="BH16" s="111">
        <f t="shared" si="50"/>
        <v>0</v>
      </c>
      <c r="BI16" s="20">
        <f t="shared" si="49"/>
        <v>0</v>
      </c>
      <c r="BJ16" s="20">
        <f t="shared" si="49"/>
        <v>0</v>
      </c>
      <c r="BK16" s="111">
        <f t="shared" si="51"/>
        <v>0</v>
      </c>
      <c r="BL16" s="111">
        <f t="shared" si="51"/>
        <v>0</v>
      </c>
      <c r="BO16" s="20">
        <f t="shared" si="52"/>
        <v>0</v>
      </c>
      <c r="BP16" s="20">
        <f t="shared" si="53"/>
        <v>0</v>
      </c>
      <c r="BQ16" s="111">
        <f t="shared" si="54"/>
        <v>0</v>
      </c>
      <c r="BR16" s="20">
        <f t="shared" si="55"/>
        <v>0</v>
      </c>
      <c r="BS16" s="20">
        <f t="shared" si="56"/>
        <v>0</v>
      </c>
      <c r="BT16" s="111">
        <f t="shared" si="57"/>
        <v>0</v>
      </c>
      <c r="BU16" s="111">
        <f t="shared" si="58"/>
        <v>0</v>
      </c>
      <c r="BW16" s="26"/>
      <c r="BX16" s="20">
        <f t="shared" si="59"/>
        <v>0</v>
      </c>
      <c r="BY16" s="20">
        <f t="shared" si="60"/>
        <v>0</v>
      </c>
      <c r="BZ16" s="111">
        <f t="shared" si="61"/>
        <v>0</v>
      </c>
      <c r="CA16" s="20">
        <f t="shared" si="62"/>
        <v>0</v>
      </c>
      <c r="CB16" s="20">
        <f t="shared" si="63"/>
        <v>0</v>
      </c>
      <c r="CC16" s="111">
        <f t="shared" si="64"/>
        <v>0</v>
      </c>
      <c r="CD16" s="111">
        <f t="shared" si="65"/>
        <v>0</v>
      </c>
      <c r="CG16" s="20">
        <f t="shared" si="17"/>
        <v>0.74923857868020305</v>
      </c>
      <c r="CH16" s="20">
        <f t="shared" si="66"/>
        <v>1.6104771573604062</v>
      </c>
      <c r="CI16" s="75">
        <f t="shared" si="67"/>
        <v>5.7730000000000004E-2</v>
      </c>
      <c r="CJ16" s="75">
        <f t="shared" si="68"/>
        <v>12.045</v>
      </c>
      <c r="CK16" s="75">
        <f t="shared" si="69"/>
        <v>9.2880000000000003</v>
      </c>
      <c r="CL16" s="75">
        <f t="shared" si="70"/>
        <v>0</v>
      </c>
      <c r="CM16" s="36">
        <f t="shared" si="71"/>
        <v>23.750445736040611</v>
      </c>
      <c r="CO16" s="10">
        <f t="shared" si="89"/>
        <v>30</v>
      </c>
      <c r="CP16" s="12" t="s">
        <v>269</v>
      </c>
      <c r="CQ16" s="102">
        <f t="shared" si="18"/>
        <v>23.750445736040611</v>
      </c>
      <c r="CR16" s="102">
        <f t="shared" si="72"/>
        <v>3.9458228223350251</v>
      </c>
      <c r="CS16" s="102">
        <f t="shared" si="19"/>
        <v>14.198261398209373</v>
      </c>
      <c r="CT16" s="102">
        <f t="shared" si="73"/>
        <v>3.7679999999999998</v>
      </c>
      <c r="CU16" s="36">
        <f t="shared" si="100"/>
        <v>45.662529956585011</v>
      </c>
      <c r="CV16" s="103">
        <f t="shared" si="20"/>
        <v>0.84516106560878435</v>
      </c>
      <c r="CW16" s="20">
        <f t="shared" si="21"/>
        <v>4.5518311129051474</v>
      </c>
      <c r="CY16" s="10">
        <f t="shared" si="91"/>
        <v>30</v>
      </c>
      <c r="CZ16" s="12" t="s">
        <v>269</v>
      </c>
      <c r="DA16" s="102">
        <f t="shared" si="75"/>
        <v>60.539886181167518</v>
      </c>
      <c r="DB16" s="102">
        <f t="shared" si="76"/>
        <v>10.057902374131979</v>
      </c>
      <c r="DC16" s="102">
        <f t="shared" si="77"/>
        <v>36.191368304035691</v>
      </c>
      <c r="DD16" s="102">
        <f t="shared" si="78"/>
        <v>9.6046319999999987</v>
      </c>
      <c r="DE16" s="36">
        <f t="shared" si="92"/>
        <v>116.39378885933519</v>
      </c>
      <c r="DF16" s="103">
        <f t="shared" si="22"/>
        <v>0.84516106560878435</v>
      </c>
      <c r="DG16" s="20"/>
    </row>
    <row r="17" spans="2:111" x14ac:dyDescent="0.25">
      <c r="B17" s="18"/>
      <c r="C17" s="66"/>
      <c r="D17" s="52"/>
      <c r="F17" s="105">
        <v>0.35</v>
      </c>
      <c r="G17" s="10">
        <f t="shared" si="93"/>
        <v>350</v>
      </c>
      <c r="H17" s="20">
        <f t="shared" si="94"/>
        <v>355.32994923857871</v>
      </c>
      <c r="I17" s="20">
        <f t="shared" si="95"/>
        <v>5.3299492385786804</v>
      </c>
      <c r="J17" s="20">
        <f t="shared" si="101"/>
        <v>301</v>
      </c>
      <c r="K17" s="20">
        <f t="shared" si="96"/>
        <v>35</v>
      </c>
      <c r="L17" s="20">
        <f t="shared" si="97"/>
        <v>14</v>
      </c>
      <c r="M17" s="10">
        <f t="shared" si="83"/>
        <v>35</v>
      </c>
      <c r="N17" s="20">
        <f t="shared" si="28"/>
        <v>589</v>
      </c>
      <c r="O17" s="20">
        <f t="shared" si="29"/>
        <v>597.96954314720813</v>
      </c>
      <c r="P17" s="20">
        <f t="shared" si="30"/>
        <v>8.9695431472081211</v>
      </c>
      <c r="Q17" s="10">
        <f t="shared" si="84"/>
        <v>35</v>
      </c>
      <c r="R17" s="20">
        <f t="shared" si="31"/>
        <v>18</v>
      </c>
      <c r="S17" s="20">
        <f t="shared" si="98"/>
        <v>18</v>
      </c>
      <c r="T17" s="20">
        <f t="shared" si="99"/>
        <v>0</v>
      </c>
      <c r="U17" s="10">
        <f t="shared" si="87"/>
        <v>35</v>
      </c>
      <c r="V17" s="20">
        <f t="shared" si="34"/>
        <v>31</v>
      </c>
      <c r="X17" s="20">
        <f t="shared" si="35"/>
        <v>12</v>
      </c>
      <c r="Z17" s="20">
        <f t="shared" si="36"/>
        <v>0</v>
      </c>
      <c r="AA17" s="10">
        <f t="shared" si="88"/>
        <v>35</v>
      </c>
      <c r="AB17" s="20">
        <f t="shared" si="37"/>
        <v>30</v>
      </c>
      <c r="AC17" s="20"/>
      <c r="AD17" s="20"/>
      <c r="AE17" s="20"/>
      <c r="AF17" s="25">
        <f t="shared" si="4"/>
        <v>890</v>
      </c>
      <c r="AG17" s="25">
        <f t="shared" si="38"/>
        <v>65</v>
      </c>
      <c r="AH17" s="25">
        <f t="shared" si="5"/>
        <v>45</v>
      </c>
      <c r="AI17" s="25">
        <f t="shared" si="39"/>
        <v>1000</v>
      </c>
      <c r="AK17" s="25">
        <f t="shared" si="6"/>
        <v>5.3299492385786804</v>
      </c>
      <c r="AL17" s="25">
        <f t="shared" si="7"/>
        <v>8.9695431472081211</v>
      </c>
      <c r="AM17" s="25">
        <f t="shared" si="8"/>
        <v>0</v>
      </c>
      <c r="AN17" s="26">
        <v>35</v>
      </c>
      <c r="AO17" s="25">
        <f t="shared" si="9"/>
        <v>355.32994923857871</v>
      </c>
      <c r="AP17" s="25">
        <f t="shared" si="10"/>
        <v>597.96954314720813</v>
      </c>
      <c r="AQ17" s="25">
        <f t="shared" si="11"/>
        <v>18</v>
      </c>
      <c r="AR17" s="25">
        <f t="shared" si="12"/>
        <v>31</v>
      </c>
      <c r="AS17" s="25">
        <f t="shared" si="40"/>
        <v>1000</v>
      </c>
      <c r="AT17" s="20">
        <f t="shared" si="13"/>
        <v>12</v>
      </c>
      <c r="AU17" s="20">
        <f t="shared" si="14"/>
        <v>0</v>
      </c>
      <c r="AW17" s="20">
        <f t="shared" si="41"/>
        <v>1.3388832487309643</v>
      </c>
      <c r="AX17" s="20">
        <f t="shared" si="42"/>
        <v>2.25314923857868</v>
      </c>
      <c r="AY17" s="111">
        <f t="shared" si="43"/>
        <v>6.7823999999999982E-2</v>
      </c>
      <c r="AZ17" s="20">
        <f t="shared" si="44"/>
        <v>0.23361599999999999</v>
      </c>
      <c r="BA17" s="20">
        <f t="shared" si="45"/>
        <v>3.7679999999999998</v>
      </c>
      <c r="BB17" s="111">
        <f t="shared" si="46"/>
        <v>4.5215999999999999E-2</v>
      </c>
      <c r="BC17" s="111">
        <f t="shared" si="47"/>
        <v>0</v>
      </c>
      <c r="BE17" s="26"/>
      <c r="BF17" s="20">
        <f t="shared" si="48"/>
        <v>0</v>
      </c>
      <c r="BG17" s="20">
        <f t="shared" si="49"/>
        <v>0</v>
      </c>
      <c r="BH17" s="111">
        <f t="shared" si="50"/>
        <v>0</v>
      </c>
      <c r="BI17" s="20">
        <f t="shared" si="49"/>
        <v>0</v>
      </c>
      <c r="BJ17" s="20">
        <f t="shared" si="49"/>
        <v>0</v>
      </c>
      <c r="BK17" s="111">
        <f t="shared" si="51"/>
        <v>0</v>
      </c>
      <c r="BL17" s="111">
        <f t="shared" si="51"/>
        <v>0</v>
      </c>
      <c r="BO17" s="20">
        <f t="shared" si="52"/>
        <v>0</v>
      </c>
      <c r="BP17" s="20">
        <f t="shared" si="53"/>
        <v>0</v>
      </c>
      <c r="BQ17" s="111">
        <f t="shared" si="54"/>
        <v>0</v>
      </c>
      <c r="BR17" s="20">
        <f t="shared" si="55"/>
        <v>0</v>
      </c>
      <c r="BS17" s="20">
        <f t="shared" si="56"/>
        <v>0</v>
      </c>
      <c r="BT17" s="111">
        <f t="shared" si="57"/>
        <v>0</v>
      </c>
      <c r="BU17" s="111">
        <f t="shared" si="58"/>
        <v>0</v>
      </c>
      <c r="BW17" s="26"/>
      <c r="BX17" s="20">
        <f t="shared" si="59"/>
        <v>0</v>
      </c>
      <c r="BY17" s="20">
        <f t="shared" si="60"/>
        <v>0</v>
      </c>
      <c r="BZ17" s="111">
        <f t="shared" si="61"/>
        <v>0</v>
      </c>
      <c r="CA17" s="20">
        <f t="shared" si="62"/>
        <v>0</v>
      </c>
      <c r="CB17" s="20">
        <f t="shared" si="63"/>
        <v>0</v>
      </c>
      <c r="CC17" s="111">
        <f t="shared" si="64"/>
        <v>0</v>
      </c>
      <c r="CD17" s="111">
        <f t="shared" si="65"/>
        <v>0</v>
      </c>
      <c r="CG17" s="20">
        <f>H17*$C$10</f>
        <v>0.87411167512690358</v>
      </c>
      <c r="CH17" s="20">
        <f>O17*$C$12</f>
        <v>1.5009035532994925</v>
      </c>
      <c r="CI17" s="75">
        <f>IF(S17&lt;0,0,S17*$C$22)</f>
        <v>4.5179999999999998E-2</v>
      </c>
      <c r="CJ17" s="75">
        <f>IF(V17&lt;0,0,V17*$C$14)</f>
        <v>11.315</v>
      </c>
      <c r="CK17" s="75">
        <f>IF(X17&lt;0,0,X17*$C$24)</f>
        <v>9.2880000000000003</v>
      </c>
      <c r="CL17" s="75">
        <f>IF(Z17&lt;0,0,Z17*$C$16)</f>
        <v>0</v>
      </c>
      <c r="CM17" s="36">
        <f t="shared" si="71"/>
        <v>23.023195228426395</v>
      </c>
      <c r="CO17" s="10">
        <f t="shared" si="89"/>
        <v>35</v>
      </c>
      <c r="CP17" s="53" t="s">
        <v>270</v>
      </c>
      <c r="CQ17" s="102">
        <f t="shared" si="18"/>
        <v>23.023195228426395</v>
      </c>
      <c r="CR17" s="102">
        <f t="shared" si="72"/>
        <v>3.9386884873096442</v>
      </c>
      <c r="CS17" s="102">
        <f t="shared" si="19"/>
        <v>13.538626095615376</v>
      </c>
      <c r="CT17" s="102">
        <f t="shared" si="73"/>
        <v>3.7679999999999998</v>
      </c>
      <c r="CU17" s="36">
        <f t="shared" si="100"/>
        <v>44.268509811351414</v>
      </c>
      <c r="CV17" s="103">
        <f t="shared" si="20"/>
        <v>0.81935935132475501</v>
      </c>
      <c r="CW17" s="20">
        <f t="shared" si="21"/>
        <v>4.3268990659026025</v>
      </c>
      <c r="CY17" s="10">
        <f t="shared" si="91"/>
        <v>35</v>
      </c>
      <c r="CZ17" s="53" t="s">
        <v>270</v>
      </c>
      <c r="DA17" s="102">
        <f t="shared" si="75"/>
        <v>58.686124637258878</v>
      </c>
      <c r="DB17" s="102">
        <f t="shared" si="76"/>
        <v>10.039716954152283</v>
      </c>
      <c r="DC17" s="102">
        <f t="shared" si="77"/>
        <v>34.50995791772359</v>
      </c>
      <c r="DD17" s="102">
        <f t="shared" si="78"/>
        <v>9.6046319999999987</v>
      </c>
      <c r="DE17" s="36">
        <f t="shared" si="92"/>
        <v>112.84043150913475</v>
      </c>
      <c r="DF17" s="103">
        <f t="shared" si="22"/>
        <v>0.81935935132475501</v>
      </c>
      <c r="DG17" s="20"/>
    </row>
    <row r="18" spans="2:111" x14ac:dyDescent="0.25">
      <c r="B18" s="108" t="s">
        <v>368</v>
      </c>
      <c r="C18" s="126">
        <f>D73</f>
        <v>7.5359999999999996E-2</v>
      </c>
      <c r="D18" s="10" t="s">
        <v>21</v>
      </c>
      <c r="F18" s="105">
        <v>0.4</v>
      </c>
      <c r="G18" s="10">
        <f t="shared" si="93"/>
        <v>400</v>
      </c>
      <c r="H18" s="20">
        <f t="shared" si="94"/>
        <v>406.09137055837562</v>
      </c>
      <c r="I18" s="20">
        <f t="shared" si="95"/>
        <v>6.0913705583756341</v>
      </c>
      <c r="J18" s="20">
        <f t="shared" si="101"/>
        <v>344</v>
      </c>
      <c r="K18" s="20">
        <f t="shared" si="96"/>
        <v>40</v>
      </c>
      <c r="L18" s="20">
        <f t="shared" si="97"/>
        <v>16</v>
      </c>
      <c r="M18" s="10">
        <f t="shared" si="83"/>
        <v>40</v>
      </c>
      <c r="N18" s="20">
        <f t="shared" si="28"/>
        <v>546</v>
      </c>
      <c r="O18" s="20">
        <f t="shared" si="29"/>
        <v>554.31472081218271</v>
      </c>
      <c r="P18" s="20">
        <f t="shared" si="30"/>
        <v>8.3147208121827401</v>
      </c>
      <c r="Q18" s="10">
        <f t="shared" si="84"/>
        <v>40</v>
      </c>
      <c r="R18" s="20">
        <f t="shared" si="31"/>
        <v>13</v>
      </c>
      <c r="S18" s="20">
        <f t="shared" si="98"/>
        <v>13</v>
      </c>
      <c r="T18" s="20">
        <f t="shared" si="99"/>
        <v>0</v>
      </c>
      <c r="U18" s="10">
        <f t="shared" si="87"/>
        <v>40</v>
      </c>
      <c r="V18" s="20">
        <f t="shared" si="34"/>
        <v>29</v>
      </c>
      <c r="X18" s="20">
        <f t="shared" si="35"/>
        <v>12</v>
      </c>
      <c r="Z18" s="20">
        <f t="shared" si="36"/>
        <v>0</v>
      </c>
      <c r="AA18" s="10">
        <f t="shared" si="88"/>
        <v>40</v>
      </c>
      <c r="AB18" s="20">
        <f t="shared" si="37"/>
        <v>25</v>
      </c>
      <c r="AC18" s="20"/>
      <c r="AD18" s="20"/>
      <c r="AE18" s="20"/>
      <c r="AF18" s="25">
        <f t="shared" si="4"/>
        <v>890</v>
      </c>
      <c r="AG18" s="25">
        <f t="shared" si="38"/>
        <v>65</v>
      </c>
      <c r="AH18" s="25">
        <f t="shared" si="5"/>
        <v>45</v>
      </c>
      <c r="AI18" s="25">
        <f t="shared" si="39"/>
        <v>1000</v>
      </c>
      <c r="AK18" s="25">
        <f t="shared" si="6"/>
        <v>6.0913705583756341</v>
      </c>
      <c r="AL18" s="25">
        <f t="shared" si="7"/>
        <v>8.3147208121827401</v>
      </c>
      <c r="AM18" s="25">
        <f t="shared" si="8"/>
        <v>0</v>
      </c>
      <c r="AN18" s="26">
        <v>40</v>
      </c>
      <c r="AO18" s="25">
        <f t="shared" si="9"/>
        <v>406.09137055837562</v>
      </c>
      <c r="AP18" s="25">
        <f t="shared" si="10"/>
        <v>554.31472081218271</v>
      </c>
      <c r="AQ18" s="25">
        <f t="shared" si="11"/>
        <v>13</v>
      </c>
      <c r="AR18" s="25">
        <f t="shared" si="12"/>
        <v>29</v>
      </c>
      <c r="AS18" s="25">
        <f t="shared" si="40"/>
        <v>1000</v>
      </c>
      <c r="AT18" s="20">
        <f t="shared" si="13"/>
        <v>12</v>
      </c>
      <c r="AU18" s="20">
        <f t="shared" si="14"/>
        <v>0</v>
      </c>
      <c r="AW18" s="20">
        <f t="shared" si="41"/>
        <v>1.5301522842639592</v>
      </c>
      <c r="AX18" s="20">
        <f t="shared" si="42"/>
        <v>2.0886578680203041</v>
      </c>
      <c r="AY18" s="111">
        <f t="shared" si="43"/>
        <v>4.8983999999999993E-2</v>
      </c>
      <c r="AZ18" s="20">
        <f t="shared" si="44"/>
        <v>0.21854399999999999</v>
      </c>
      <c r="BA18" s="20">
        <f t="shared" si="45"/>
        <v>3.7679999999999998</v>
      </c>
      <c r="BB18" s="111">
        <f t="shared" si="46"/>
        <v>4.5215999999999999E-2</v>
      </c>
      <c r="BC18" s="111">
        <f t="shared" si="47"/>
        <v>0</v>
      </c>
      <c r="BE18" s="26"/>
      <c r="BF18" s="20">
        <f t="shared" si="48"/>
        <v>0</v>
      </c>
      <c r="BG18" s="20">
        <f t="shared" si="49"/>
        <v>0</v>
      </c>
      <c r="BH18" s="111">
        <f t="shared" si="50"/>
        <v>0</v>
      </c>
      <c r="BI18" s="20">
        <f t="shared" si="49"/>
        <v>0</v>
      </c>
      <c r="BJ18" s="20">
        <f t="shared" si="49"/>
        <v>0</v>
      </c>
      <c r="BK18" s="111">
        <f t="shared" si="51"/>
        <v>0</v>
      </c>
      <c r="BL18" s="111">
        <f t="shared" si="51"/>
        <v>0</v>
      </c>
      <c r="BO18" s="20">
        <f t="shared" si="52"/>
        <v>0</v>
      </c>
      <c r="BP18" s="20">
        <f t="shared" si="53"/>
        <v>0</v>
      </c>
      <c r="BQ18" s="111">
        <f t="shared" si="54"/>
        <v>0</v>
      </c>
      <c r="BR18" s="20">
        <f t="shared" si="55"/>
        <v>0</v>
      </c>
      <c r="BS18" s="20">
        <f t="shared" si="56"/>
        <v>0</v>
      </c>
      <c r="BT18" s="111">
        <f t="shared" si="57"/>
        <v>0</v>
      </c>
      <c r="BU18" s="111">
        <f t="shared" si="58"/>
        <v>0</v>
      </c>
      <c r="BW18" s="26"/>
      <c r="BX18" s="20">
        <f t="shared" si="59"/>
        <v>0</v>
      </c>
      <c r="BY18" s="20">
        <f t="shared" si="60"/>
        <v>0</v>
      </c>
      <c r="BZ18" s="111">
        <f t="shared" si="61"/>
        <v>0</v>
      </c>
      <c r="CA18" s="20">
        <f t="shared" si="62"/>
        <v>0</v>
      </c>
      <c r="CB18" s="20">
        <f t="shared" si="63"/>
        <v>0</v>
      </c>
      <c r="CC18" s="111">
        <f t="shared" si="64"/>
        <v>0</v>
      </c>
      <c r="CD18" s="111">
        <f t="shared" si="65"/>
        <v>0</v>
      </c>
      <c r="CG18" s="20">
        <f t="shared" si="17"/>
        <v>0.99898477157360399</v>
      </c>
      <c r="CH18" s="20">
        <f t="shared" si="66"/>
        <v>1.3913299492385787</v>
      </c>
      <c r="CI18" s="75">
        <f t="shared" si="67"/>
        <v>3.2629999999999999E-2</v>
      </c>
      <c r="CJ18" s="75">
        <f t="shared" si="68"/>
        <v>10.584999999999999</v>
      </c>
      <c r="CK18" s="75">
        <f t="shared" si="69"/>
        <v>9.2880000000000003</v>
      </c>
      <c r="CL18" s="75">
        <f t="shared" si="70"/>
        <v>0</v>
      </c>
      <c r="CM18" s="36">
        <f t="shared" si="71"/>
        <v>22.29594472081218</v>
      </c>
      <c r="CO18" s="10">
        <f t="shared" si="89"/>
        <v>40</v>
      </c>
      <c r="CP18" s="12" t="s">
        <v>271</v>
      </c>
      <c r="CQ18" s="102">
        <f t="shared" si="18"/>
        <v>22.29594472081218</v>
      </c>
      <c r="CR18" s="102">
        <f t="shared" si="72"/>
        <v>3.9315541522842632</v>
      </c>
      <c r="CS18" s="102">
        <f t="shared" si="19"/>
        <v>12.879066473163881</v>
      </c>
      <c r="CT18" s="102">
        <f t="shared" si="73"/>
        <v>3.7679999999999998</v>
      </c>
      <c r="CU18" s="36">
        <f t="shared" si="100"/>
        <v>42.874565346260326</v>
      </c>
      <c r="CV18" s="103">
        <f t="shared" si="20"/>
        <v>0.79355903779337666</v>
      </c>
      <c r="CW18" s="20">
        <f t="shared" si="21"/>
        <v>4.1019670189000585</v>
      </c>
      <c r="CY18" s="10">
        <f t="shared" si="91"/>
        <v>40</v>
      </c>
      <c r="CZ18" s="12" t="s">
        <v>271</v>
      </c>
      <c r="DA18" s="102">
        <f t="shared" si="75"/>
        <v>56.832363093350246</v>
      </c>
      <c r="DB18" s="102">
        <f t="shared" si="76"/>
        <v>10.021531534172587</v>
      </c>
      <c r="DC18" s="102">
        <f t="shared" si="77"/>
        <v>32.828740440094734</v>
      </c>
      <c r="DD18" s="102">
        <f t="shared" si="78"/>
        <v>9.6046319999999987</v>
      </c>
      <c r="DE18" s="36">
        <f t="shared" si="92"/>
        <v>109.28726706761756</v>
      </c>
      <c r="DF18" s="103">
        <f t="shared" si="22"/>
        <v>0.79355903779337655</v>
      </c>
      <c r="DG18" s="20"/>
    </row>
    <row r="19" spans="2:111" x14ac:dyDescent="0.25">
      <c r="B19" s="18"/>
      <c r="C19" s="66"/>
      <c r="F19" s="105">
        <v>0.45</v>
      </c>
      <c r="G19" s="10">
        <f t="shared" si="93"/>
        <v>450</v>
      </c>
      <c r="H19" s="20">
        <f t="shared" si="94"/>
        <v>456.85279187817258</v>
      </c>
      <c r="I19" s="20">
        <f t="shared" si="95"/>
        <v>6.8527918781725887</v>
      </c>
      <c r="J19" s="20">
        <f t="shared" si="101"/>
        <v>387</v>
      </c>
      <c r="K19" s="20">
        <f t="shared" si="96"/>
        <v>45</v>
      </c>
      <c r="L19" s="20">
        <f t="shared" si="97"/>
        <v>18</v>
      </c>
      <c r="M19" s="10">
        <f t="shared" si="83"/>
        <v>45</v>
      </c>
      <c r="N19" s="20">
        <f t="shared" si="28"/>
        <v>503</v>
      </c>
      <c r="O19" s="20">
        <f t="shared" si="29"/>
        <v>510.65989847715736</v>
      </c>
      <c r="P19" s="20">
        <f t="shared" si="30"/>
        <v>7.6598984771573599</v>
      </c>
      <c r="Q19" s="10">
        <f t="shared" si="84"/>
        <v>45</v>
      </c>
      <c r="R19" s="20">
        <f t="shared" si="31"/>
        <v>8</v>
      </c>
      <c r="S19" s="20">
        <f t="shared" si="98"/>
        <v>8</v>
      </c>
      <c r="T19" s="20">
        <f t="shared" si="99"/>
        <v>0</v>
      </c>
      <c r="U19" s="10">
        <f t="shared" si="87"/>
        <v>45</v>
      </c>
      <c r="V19" s="20">
        <f t="shared" si="34"/>
        <v>27</v>
      </c>
      <c r="X19" s="20">
        <f t="shared" si="35"/>
        <v>12</v>
      </c>
      <c r="Z19" s="20">
        <f t="shared" si="36"/>
        <v>0</v>
      </c>
      <c r="AA19" s="10">
        <f t="shared" si="88"/>
        <v>45</v>
      </c>
      <c r="AB19" s="20">
        <f t="shared" si="37"/>
        <v>20</v>
      </c>
      <c r="AC19" s="20"/>
      <c r="AD19" s="20"/>
      <c r="AE19" s="20"/>
      <c r="AF19" s="25">
        <f t="shared" si="4"/>
        <v>890</v>
      </c>
      <c r="AG19" s="25">
        <f t="shared" si="38"/>
        <v>65</v>
      </c>
      <c r="AH19" s="25">
        <f t="shared" si="5"/>
        <v>45</v>
      </c>
      <c r="AI19" s="25">
        <f t="shared" si="39"/>
        <v>1000</v>
      </c>
      <c r="AK19" s="25">
        <f t="shared" si="6"/>
        <v>6.8527918781725887</v>
      </c>
      <c r="AL19" s="25">
        <f t="shared" si="7"/>
        <v>7.6598984771573599</v>
      </c>
      <c r="AM19" s="25">
        <f t="shared" si="8"/>
        <v>0</v>
      </c>
      <c r="AN19" s="26">
        <v>45</v>
      </c>
      <c r="AO19" s="25">
        <f t="shared" si="9"/>
        <v>456.85279187817258</v>
      </c>
      <c r="AP19" s="25">
        <f t="shared" si="10"/>
        <v>510.65989847715736</v>
      </c>
      <c r="AQ19" s="25">
        <f t="shared" si="11"/>
        <v>8</v>
      </c>
      <c r="AR19" s="25">
        <f t="shared" si="12"/>
        <v>27</v>
      </c>
      <c r="AS19" s="25">
        <f t="shared" si="40"/>
        <v>1000</v>
      </c>
      <c r="AT19" s="20">
        <f t="shared" si="13"/>
        <v>12</v>
      </c>
      <c r="AU19" s="20">
        <f t="shared" si="14"/>
        <v>0</v>
      </c>
      <c r="AW19" s="20">
        <f t="shared" si="41"/>
        <v>1.7214213197969543</v>
      </c>
      <c r="AX19" s="20">
        <f t="shared" si="42"/>
        <v>1.9241664974619286</v>
      </c>
      <c r="AY19" s="111">
        <f t="shared" si="43"/>
        <v>3.0143999999999997E-2</v>
      </c>
      <c r="AZ19" s="20">
        <f t="shared" si="44"/>
        <v>0.20347199999999999</v>
      </c>
      <c r="BA19" s="20">
        <f t="shared" si="45"/>
        <v>3.7679999999999998</v>
      </c>
      <c r="BB19" s="111">
        <f t="shared" si="46"/>
        <v>4.5215999999999999E-2</v>
      </c>
      <c r="BC19" s="111">
        <f t="shared" si="47"/>
        <v>0</v>
      </c>
      <c r="BE19" s="26"/>
      <c r="BF19" s="20">
        <f t="shared" si="48"/>
        <v>0</v>
      </c>
      <c r="BG19" s="20">
        <f t="shared" si="49"/>
        <v>0</v>
      </c>
      <c r="BH19" s="111">
        <f t="shared" si="50"/>
        <v>0</v>
      </c>
      <c r="BI19" s="20">
        <f t="shared" si="49"/>
        <v>0</v>
      </c>
      <c r="BJ19" s="20">
        <f t="shared" si="49"/>
        <v>0</v>
      </c>
      <c r="BK19" s="111">
        <f t="shared" si="51"/>
        <v>0</v>
      </c>
      <c r="BL19" s="111">
        <f t="shared" si="51"/>
        <v>0</v>
      </c>
      <c r="BO19" s="20">
        <f t="shared" si="52"/>
        <v>0</v>
      </c>
      <c r="BP19" s="20">
        <f t="shared" si="53"/>
        <v>0</v>
      </c>
      <c r="BQ19" s="111">
        <f t="shared" si="54"/>
        <v>0</v>
      </c>
      <c r="BR19" s="20">
        <f t="shared" si="55"/>
        <v>0</v>
      </c>
      <c r="BS19" s="20">
        <f t="shared" si="56"/>
        <v>0</v>
      </c>
      <c r="BT19" s="111">
        <f t="shared" si="57"/>
        <v>0</v>
      </c>
      <c r="BU19" s="111">
        <f t="shared" si="58"/>
        <v>0</v>
      </c>
      <c r="BW19" s="26"/>
      <c r="BX19" s="20">
        <f t="shared" si="59"/>
        <v>0</v>
      </c>
      <c r="BY19" s="20">
        <f t="shared" si="60"/>
        <v>0</v>
      </c>
      <c r="BZ19" s="111">
        <f t="shared" si="61"/>
        <v>0</v>
      </c>
      <c r="CA19" s="20">
        <f t="shared" si="62"/>
        <v>0</v>
      </c>
      <c r="CB19" s="20">
        <f t="shared" si="63"/>
        <v>0</v>
      </c>
      <c r="CC19" s="111">
        <f t="shared" si="64"/>
        <v>0</v>
      </c>
      <c r="CD19" s="111">
        <f t="shared" si="65"/>
        <v>0</v>
      </c>
      <c r="CG19" s="20">
        <f t="shared" si="17"/>
        <v>1.1238578680203046</v>
      </c>
      <c r="CH19" s="20">
        <f t="shared" si="66"/>
        <v>1.281756345177665</v>
      </c>
      <c r="CI19" s="75">
        <f t="shared" si="67"/>
        <v>2.0080000000000001E-2</v>
      </c>
      <c r="CJ19" s="75">
        <f t="shared" si="68"/>
        <v>9.8550000000000004</v>
      </c>
      <c r="CK19" s="75">
        <f t="shared" si="69"/>
        <v>9.2880000000000003</v>
      </c>
      <c r="CL19" s="75">
        <f t="shared" si="70"/>
        <v>0</v>
      </c>
      <c r="CM19" s="36">
        <f t="shared" si="71"/>
        <v>21.568694213197972</v>
      </c>
      <c r="CO19" s="10">
        <f t="shared" si="89"/>
        <v>45</v>
      </c>
      <c r="CP19" s="53" t="s">
        <v>272</v>
      </c>
      <c r="CQ19" s="102">
        <f t="shared" si="18"/>
        <v>21.568694213197972</v>
      </c>
      <c r="CR19" s="102">
        <f t="shared" si="72"/>
        <v>3.9244198172588827</v>
      </c>
      <c r="CS19" s="102">
        <f t="shared" si="19"/>
        <v>12.21958328765631</v>
      </c>
      <c r="CT19" s="102">
        <f t="shared" si="73"/>
        <v>3.7679999999999998</v>
      </c>
      <c r="CU19" s="36">
        <f t="shared" si="100"/>
        <v>41.480697318113165</v>
      </c>
      <c r="CV19" s="103">
        <f t="shared" si="20"/>
        <v>0.76776013902217566</v>
      </c>
      <c r="CW19" s="20">
        <f t="shared" si="21"/>
        <v>3.8770349718975141</v>
      </c>
      <c r="CY19" s="10">
        <f t="shared" si="91"/>
        <v>45</v>
      </c>
      <c r="CZ19" s="53" t="s">
        <v>272</v>
      </c>
      <c r="DA19" s="102">
        <f t="shared" si="75"/>
        <v>54.978601549441628</v>
      </c>
      <c r="DB19" s="102">
        <f t="shared" si="76"/>
        <v>10.003346114192892</v>
      </c>
      <c r="DC19" s="102">
        <f t="shared" si="77"/>
        <v>31.147717800235931</v>
      </c>
      <c r="DD19" s="102">
        <f t="shared" si="78"/>
        <v>9.6046319999999987</v>
      </c>
      <c r="DE19" s="36">
        <f t="shared" si="92"/>
        <v>105.73429746387045</v>
      </c>
      <c r="DF19" s="103">
        <f t="shared" si="22"/>
        <v>0.76776013902217555</v>
      </c>
      <c r="DG19" s="20"/>
    </row>
    <row r="20" spans="2:111" x14ac:dyDescent="0.25">
      <c r="B20" s="18" t="s">
        <v>41</v>
      </c>
      <c r="C20" s="126">
        <f>D74</f>
        <v>0.26800000000000002</v>
      </c>
      <c r="D20" s="10" t="s">
        <v>23</v>
      </c>
      <c r="F20" s="105">
        <v>0.5</v>
      </c>
      <c r="G20" s="10">
        <f t="shared" si="93"/>
        <v>500</v>
      </c>
      <c r="H20" s="20">
        <f t="shared" si="94"/>
        <v>507.61421319796955</v>
      </c>
      <c r="I20" s="20">
        <f t="shared" si="95"/>
        <v>7.6142131979695433</v>
      </c>
      <c r="J20" s="20">
        <f t="shared" si="101"/>
        <v>430</v>
      </c>
      <c r="K20" s="20">
        <f t="shared" si="96"/>
        <v>50</v>
      </c>
      <c r="L20" s="20">
        <f t="shared" si="97"/>
        <v>20</v>
      </c>
      <c r="M20" s="10">
        <f t="shared" si="83"/>
        <v>50</v>
      </c>
      <c r="N20" s="20">
        <f t="shared" si="28"/>
        <v>460</v>
      </c>
      <c r="O20" s="20">
        <f t="shared" si="29"/>
        <v>467.005076142132</v>
      </c>
      <c r="P20" s="20">
        <f t="shared" si="30"/>
        <v>7.0050761421319798</v>
      </c>
      <c r="Q20" s="10">
        <f t="shared" si="84"/>
        <v>50</v>
      </c>
      <c r="R20" s="20">
        <f t="shared" si="31"/>
        <v>3</v>
      </c>
      <c r="S20" s="20">
        <f t="shared" si="85"/>
        <v>3</v>
      </c>
      <c r="T20" s="20">
        <f t="shared" si="86"/>
        <v>0</v>
      </c>
      <c r="U20" s="10">
        <f t="shared" si="87"/>
        <v>50</v>
      </c>
      <c r="V20" s="20">
        <f t="shared" si="34"/>
        <v>25</v>
      </c>
      <c r="X20" s="20">
        <f t="shared" si="35"/>
        <v>12</v>
      </c>
      <c r="Z20" s="20">
        <f t="shared" si="36"/>
        <v>0</v>
      </c>
      <c r="AA20" s="10">
        <f t="shared" si="88"/>
        <v>50</v>
      </c>
      <c r="AB20" s="20">
        <f t="shared" si="37"/>
        <v>15</v>
      </c>
      <c r="AC20" s="20"/>
      <c r="AD20" s="20"/>
      <c r="AE20" s="20"/>
      <c r="AF20" s="25">
        <f t="shared" si="4"/>
        <v>890</v>
      </c>
      <c r="AG20" s="25">
        <f t="shared" si="38"/>
        <v>65</v>
      </c>
      <c r="AH20" s="25">
        <f t="shared" si="5"/>
        <v>45</v>
      </c>
      <c r="AI20" s="25">
        <f t="shared" si="39"/>
        <v>1000</v>
      </c>
      <c r="AK20" s="25">
        <f t="shared" si="6"/>
        <v>7.6142131979695433</v>
      </c>
      <c r="AL20" s="25">
        <f t="shared" si="7"/>
        <v>7.0050761421319798</v>
      </c>
      <c r="AM20" s="25">
        <f t="shared" si="8"/>
        <v>0</v>
      </c>
      <c r="AN20" s="26">
        <v>50</v>
      </c>
      <c r="AO20" s="25">
        <f t="shared" si="9"/>
        <v>507.61421319796955</v>
      </c>
      <c r="AP20" s="25">
        <f t="shared" si="10"/>
        <v>467.005076142132</v>
      </c>
      <c r="AQ20" s="25">
        <f t="shared" si="11"/>
        <v>3</v>
      </c>
      <c r="AR20" s="25">
        <f t="shared" si="12"/>
        <v>25</v>
      </c>
      <c r="AS20" s="25">
        <f t="shared" si="40"/>
        <v>1000</v>
      </c>
      <c r="AT20" s="20">
        <f t="shared" si="13"/>
        <v>12</v>
      </c>
      <c r="AU20" s="20">
        <f t="shared" si="14"/>
        <v>0</v>
      </c>
      <c r="AW20" s="20">
        <f t="shared" si="41"/>
        <v>1.912690355329949</v>
      </c>
      <c r="AX20" s="20">
        <f t="shared" si="42"/>
        <v>1.7596751269035533</v>
      </c>
      <c r="AY20" s="111">
        <f t="shared" si="43"/>
        <v>1.1304E-2</v>
      </c>
      <c r="AZ20" s="20">
        <f t="shared" si="44"/>
        <v>0.18840000000000001</v>
      </c>
      <c r="BA20" s="20">
        <f t="shared" si="45"/>
        <v>3.7679999999999998</v>
      </c>
      <c r="BB20" s="111">
        <f t="shared" si="46"/>
        <v>4.5215999999999999E-2</v>
      </c>
      <c r="BC20" s="111">
        <f t="shared" si="47"/>
        <v>0</v>
      </c>
      <c r="BE20" s="26"/>
      <c r="BF20" s="20">
        <f t="shared" si="48"/>
        <v>0</v>
      </c>
      <c r="BG20" s="20">
        <f t="shared" si="49"/>
        <v>0</v>
      </c>
      <c r="BH20" s="111">
        <f t="shared" si="50"/>
        <v>0</v>
      </c>
      <c r="BI20" s="20">
        <f t="shared" si="49"/>
        <v>0</v>
      </c>
      <c r="BJ20" s="20">
        <f t="shared" si="49"/>
        <v>0</v>
      </c>
      <c r="BK20" s="111">
        <f t="shared" si="51"/>
        <v>0</v>
      </c>
      <c r="BL20" s="111">
        <f t="shared" si="51"/>
        <v>0</v>
      </c>
      <c r="BO20" s="20">
        <f t="shared" si="52"/>
        <v>0</v>
      </c>
      <c r="BP20" s="20">
        <f t="shared" si="53"/>
        <v>0</v>
      </c>
      <c r="BQ20" s="111">
        <f t="shared" si="54"/>
        <v>0</v>
      </c>
      <c r="BR20" s="20">
        <f t="shared" si="55"/>
        <v>0</v>
      </c>
      <c r="BS20" s="20">
        <f t="shared" si="56"/>
        <v>0</v>
      </c>
      <c r="BT20" s="111">
        <f t="shared" si="57"/>
        <v>0</v>
      </c>
      <c r="BU20" s="111">
        <f t="shared" si="58"/>
        <v>0</v>
      </c>
      <c r="BW20" s="26"/>
      <c r="BX20" s="20">
        <f t="shared" si="59"/>
        <v>0</v>
      </c>
      <c r="BY20" s="20">
        <f t="shared" si="60"/>
        <v>0</v>
      </c>
      <c r="BZ20" s="111">
        <f t="shared" si="61"/>
        <v>0</v>
      </c>
      <c r="CA20" s="20">
        <f t="shared" si="62"/>
        <v>0</v>
      </c>
      <c r="CB20" s="20">
        <f t="shared" si="63"/>
        <v>0</v>
      </c>
      <c r="CC20" s="111">
        <f t="shared" si="64"/>
        <v>0</v>
      </c>
      <c r="CD20" s="111">
        <f t="shared" si="65"/>
        <v>0</v>
      </c>
      <c r="CG20" s="20">
        <f t="shared" si="17"/>
        <v>1.248730964467005</v>
      </c>
      <c r="CH20" s="20">
        <f t="shared" si="66"/>
        <v>1.1721827411167514</v>
      </c>
      <c r="CI20" s="75">
        <f t="shared" si="67"/>
        <v>7.5300000000000002E-3</v>
      </c>
      <c r="CJ20" s="75">
        <f t="shared" si="68"/>
        <v>9.125</v>
      </c>
      <c r="CK20" s="75">
        <f t="shared" si="69"/>
        <v>9.2880000000000003</v>
      </c>
      <c r="CL20" s="75">
        <f t="shared" si="70"/>
        <v>0</v>
      </c>
      <c r="CM20" s="36">
        <f t="shared" si="71"/>
        <v>20.841443705583757</v>
      </c>
      <c r="CO20" s="10">
        <f t="shared" si="89"/>
        <v>50</v>
      </c>
      <c r="CP20" s="12" t="s">
        <v>273</v>
      </c>
      <c r="CQ20" s="102">
        <f t="shared" si="18"/>
        <v>20.841443705583757</v>
      </c>
      <c r="CR20" s="102">
        <f t="shared" si="72"/>
        <v>3.9172854822335021</v>
      </c>
      <c r="CS20" s="102">
        <f t="shared" si="19"/>
        <v>11.560177303462103</v>
      </c>
      <c r="CT20" s="102">
        <f t="shared" si="73"/>
        <v>3.7679999999999998</v>
      </c>
      <c r="CU20" s="36">
        <f t="shared" si="90"/>
        <v>40.086906491279365</v>
      </c>
      <c r="CV20" s="103">
        <f t="shared" si="20"/>
        <v>0.74196266915875364</v>
      </c>
      <c r="CW20" s="20">
        <f t="shared" si="21"/>
        <v>3.6521029248949683</v>
      </c>
      <c r="CY20" s="10">
        <f t="shared" si="91"/>
        <v>50</v>
      </c>
      <c r="CZ20" s="12" t="s">
        <v>273</v>
      </c>
      <c r="DA20" s="102">
        <f t="shared" si="75"/>
        <v>53.124840005532995</v>
      </c>
      <c r="DB20" s="102">
        <f t="shared" si="76"/>
        <v>9.9851606942131959</v>
      </c>
      <c r="DC20" s="102">
        <f t="shared" si="77"/>
        <v>29.4668919465249</v>
      </c>
      <c r="DD20" s="102">
        <f t="shared" si="78"/>
        <v>9.6046319999999987</v>
      </c>
      <c r="DE20" s="36">
        <f t="shared" si="92"/>
        <v>102.18152464627109</v>
      </c>
      <c r="DF20" s="103">
        <f t="shared" si="22"/>
        <v>0.74196266915875364</v>
      </c>
      <c r="DG20" s="20"/>
    </row>
    <row r="21" spans="2:111" x14ac:dyDescent="0.25">
      <c r="C21" s="66"/>
      <c r="F21" s="105">
        <v>0.55000000000000004</v>
      </c>
      <c r="G21" s="10">
        <f t="shared" ref="G21:G30" si="102">1000*F21</f>
        <v>550</v>
      </c>
      <c r="H21" s="20">
        <f t="shared" ref="H21:H30" si="103">G21/(1-$I$7)</f>
        <v>558.37563451776646</v>
      </c>
      <c r="I21" s="20">
        <f t="shared" ref="I21:I30" si="104">H21*$I$7</f>
        <v>8.3756345177664961</v>
      </c>
      <c r="J21" s="20">
        <f t="shared" ref="J21:J30" si="105">G21*$J$7</f>
        <v>473</v>
      </c>
      <c r="K21" s="20">
        <f t="shared" ref="K21:K30" si="106">G21*$K$7</f>
        <v>55</v>
      </c>
      <c r="L21" s="20">
        <f t="shared" ref="L21:L30" si="107">G21*$L$7</f>
        <v>22</v>
      </c>
      <c r="M21" s="10">
        <f t="shared" si="83"/>
        <v>55</v>
      </c>
      <c r="N21" s="20">
        <f t="shared" ref="N21:N30" si="108">$N$7*1000-J21</f>
        <v>417</v>
      </c>
      <c r="O21" s="20">
        <f t="shared" ref="O21:O30" si="109">N21/(1-$P$7)</f>
        <v>423.35025380710658</v>
      </c>
      <c r="P21" s="20">
        <f t="shared" ref="P21:P30" si="110">O21*$P$7</f>
        <v>6.3502538071065988</v>
      </c>
      <c r="Q21" s="10">
        <f t="shared" si="84"/>
        <v>55</v>
      </c>
      <c r="R21" s="20">
        <f t="shared" si="31"/>
        <v>-2</v>
      </c>
      <c r="S21" s="20">
        <f t="shared" ref="S21:S30" si="111">R21/(1-$T$7)</f>
        <v>-2</v>
      </c>
      <c r="T21" s="20">
        <f t="shared" ref="T21:T30" si="112">S21*$T$7</f>
        <v>0</v>
      </c>
      <c r="U21" s="10">
        <f t="shared" si="87"/>
        <v>55</v>
      </c>
      <c r="V21" s="20">
        <f t="shared" ref="V21:V30" si="113">$V$7*1000-L21</f>
        <v>23</v>
      </c>
      <c r="X21" s="20">
        <f t="shared" si="35"/>
        <v>12</v>
      </c>
      <c r="Z21" s="20">
        <f t="shared" si="36"/>
        <v>0</v>
      </c>
      <c r="AA21" s="10">
        <f t="shared" si="88"/>
        <v>55</v>
      </c>
      <c r="AB21" s="20">
        <f t="shared" si="37"/>
        <v>10</v>
      </c>
      <c r="AC21" s="20"/>
      <c r="AD21" s="20"/>
      <c r="AE21" s="20"/>
      <c r="AF21" s="25">
        <f t="shared" si="4"/>
        <v>890</v>
      </c>
      <c r="AG21" s="25">
        <f t="shared" si="38"/>
        <v>65</v>
      </c>
      <c r="AH21" s="25">
        <f t="shared" si="5"/>
        <v>45</v>
      </c>
      <c r="AI21" s="25">
        <f t="shared" ref="AI21:AI30" si="114">SUM(AF21:AH21)</f>
        <v>1000</v>
      </c>
      <c r="AK21" s="25">
        <f t="shared" si="6"/>
        <v>8.3756345177664961</v>
      </c>
      <c r="AL21" s="25">
        <f t="shared" si="7"/>
        <v>6.3502538071065988</v>
      </c>
      <c r="AM21" s="25">
        <f t="shared" si="8"/>
        <v>0</v>
      </c>
      <c r="AN21" s="26">
        <v>55</v>
      </c>
      <c r="AO21" s="25">
        <f t="shared" si="9"/>
        <v>558.37563451776646</v>
      </c>
      <c r="AP21" s="25">
        <f t="shared" si="10"/>
        <v>423.35025380710658</v>
      </c>
      <c r="AQ21" s="25">
        <f t="shared" si="11"/>
        <v>-2</v>
      </c>
      <c r="AR21" s="25">
        <f t="shared" si="12"/>
        <v>23</v>
      </c>
      <c r="AS21" s="25">
        <f t="shared" ref="AS21:AS30" si="115">AI21</f>
        <v>1000</v>
      </c>
      <c r="AT21" s="20">
        <f t="shared" si="13"/>
        <v>12</v>
      </c>
      <c r="AU21" s="20">
        <f t="shared" si="14"/>
        <v>0</v>
      </c>
      <c r="AW21" s="20">
        <f t="shared" si="41"/>
        <v>2.1039593908629439</v>
      </c>
      <c r="AX21" s="20">
        <f t="shared" si="42"/>
        <v>1.5951837563451774</v>
      </c>
      <c r="AY21" s="111">
        <f t="shared" si="43"/>
        <v>0</v>
      </c>
      <c r="AZ21" s="20">
        <f t="shared" si="44"/>
        <v>0.17332799999999998</v>
      </c>
      <c r="BA21" s="20">
        <f t="shared" si="45"/>
        <v>3.7679999999999998</v>
      </c>
      <c r="BB21" s="111">
        <f t="shared" si="46"/>
        <v>4.5215999999999999E-2</v>
      </c>
      <c r="BC21" s="111">
        <f t="shared" si="47"/>
        <v>0</v>
      </c>
      <c r="BE21" s="26"/>
      <c r="BF21" s="20">
        <f t="shared" si="48"/>
        <v>0</v>
      </c>
      <c r="BG21" s="20">
        <f t="shared" si="49"/>
        <v>0</v>
      </c>
      <c r="BH21" s="111">
        <f t="shared" si="50"/>
        <v>0</v>
      </c>
      <c r="BI21" s="20">
        <f t="shared" si="49"/>
        <v>0</v>
      </c>
      <c r="BJ21" s="20">
        <f t="shared" si="49"/>
        <v>0</v>
      </c>
      <c r="BK21" s="111">
        <f t="shared" si="51"/>
        <v>0</v>
      </c>
      <c r="BL21" s="111">
        <f t="shared" si="51"/>
        <v>0</v>
      </c>
      <c r="BO21" s="20">
        <f t="shared" si="52"/>
        <v>0</v>
      </c>
      <c r="BP21" s="20">
        <f t="shared" si="53"/>
        <v>0</v>
      </c>
      <c r="BQ21" s="111">
        <f t="shared" si="54"/>
        <v>0</v>
      </c>
      <c r="BR21" s="20">
        <f t="shared" si="55"/>
        <v>0</v>
      </c>
      <c r="BS21" s="20">
        <f t="shared" si="56"/>
        <v>0</v>
      </c>
      <c r="BT21" s="111">
        <f t="shared" si="57"/>
        <v>0</v>
      </c>
      <c r="BU21" s="111">
        <f t="shared" si="58"/>
        <v>0</v>
      </c>
      <c r="BW21" s="26"/>
      <c r="BX21" s="20">
        <f t="shared" si="59"/>
        <v>0</v>
      </c>
      <c r="BY21" s="20">
        <f t="shared" si="60"/>
        <v>0</v>
      </c>
      <c r="BZ21" s="111">
        <f t="shared" si="61"/>
        <v>0</v>
      </c>
      <c r="CA21" s="20">
        <f t="shared" si="62"/>
        <v>0</v>
      </c>
      <c r="CB21" s="20">
        <f t="shared" si="63"/>
        <v>0</v>
      </c>
      <c r="CC21" s="111">
        <f t="shared" si="64"/>
        <v>0</v>
      </c>
      <c r="CD21" s="111">
        <f t="shared" si="65"/>
        <v>0</v>
      </c>
      <c r="CG21" s="20">
        <f t="shared" si="17"/>
        <v>1.3736040609137055</v>
      </c>
      <c r="CH21" s="20">
        <f t="shared" si="66"/>
        <v>1.0626091370558375</v>
      </c>
      <c r="CI21" s="75">
        <f t="shared" si="67"/>
        <v>0</v>
      </c>
      <c r="CJ21" s="75">
        <f t="shared" si="68"/>
        <v>8.3949999999999996</v>
      </c>
      <c r="CK21" s="75">
        <f t="shared" si="69"/>
        <v>9.2880000000000003</v>
      </c>
      <c r="CL21" s="75">
        <f t="shared" si="70"/>
        <v>0</v>
      </c>
      <c r="CM21" s="36">
        <f t="shared" si="71"/>
        <v>20.119213197969543</v>
      </c>
      <c r="CO21" s="10">
        <f t="shared" si="89"/>
        <v>55</v>
      </c>
      <c r="CP21" s="104" t="s">
        <v>275</v>
      </c>
      <c r="CQ21" s="102">
        <f t="shared" si="18"/>
        <v>20.119213197969543</v>
      </c>
      <c r="CR21" s="102">
        <f t="shared" si="72"/>
        <v>3.9176871472081216</v>
      </c>
      <c r="CS21" s="102">
        <f t="shared" si="19"/>
        <v>10.900849292594398</v>
      </c>
      <c r="CT21" s="102">
        <f t="shared" si="73"/>
        <v>3.7679999999999998</v>
      </c>
      <c r="CU21" s="36">
        <f t="shared" ref="CU21:CU30" si="116">SUM(CQ21:CT21)</f>
        <v>38.705749637772058</v>
      </c>
      <c r="CV21" s="103">
        <f t="shared" si="20"/>
        <v>0.71639903965349072</v>
      </c>
      <c r="CW21" s="20">
        <f t="shared" si="21"/>
        <v>3.427170877892423</v>
      </c>
      <c r="CY21" s="10">
        <f t="shared" si="91"/>
        <v>55</v>
      </c>
      <c r="CZ21" s="104" t="s">
        <v>275</v>
      </c>
      <c r="DA21" s="102">
        <f t="shared" si="75"/>
        <v>51.283874441624363</v>
      </c>
      <c r="DB21" s="102">
        <f t="shared" si="76"/>
        <v>9.9861845382335019</v>
      </c>
      <c r="DC21" s="102">
        <f t="shared" si="77"/>
        <v>27.786264846823119</v>
      </c>
      <c r="DD21" s="102">
        <f t="shared" si="78"/>
        <v>9.6046319999999987</v>
      </c>
      <c r="DE21" s="36">
        <f t="shared" ref="DE21:DE30" si="117">SUM(DA21:DD21)</f>
        <v>98.660955826680976</v>
      </c>
      <c r="DF21" s="103">
        <f t="shared" si="22"/>
        <v>0.71639903965349072</v>
      </c>
      <c r="DG21" s="20"/>
    </row>
    <row r="22" spans="2:111" x14ac:dyDescent="0.25">
      <c r="B22" s="95" t="s">
        <v>323</v>
      </c>
      <c r="C22" s="126">
        <f>D69</f>
        <v>2.5100000000000001E-3</v>
      </c>
      <c r="D22" s="52" t="s">
        <v>159</v>
      </c>
      <c r="F22" s="105">
        <v>0.6</v>
      </c>
      <c r="G22" s="10">
        <f t="shared" si="102"/>
        <v>600</v>
      </c>
      <c r="H22" s="20">
        <f t="shared" si="103"/>
        <v>609.13705583756348</v>
      </c>
      <c r="I22" s="20">
        <f t="shared" si="104"/>
        <v>9.1370558375634516</v>
      </c>
      <c r="J22" s="20">
        <f t="shared" si="105"/>
        <v>516</v>
      </c>
      <c r="K22" s="20">
        <f t="shared" si="106"/>
        <v>60</v>
      </c>
      <c r="L22" s="20">
        <f t="shared" si="107"/>
        <v>24</v>
      </c>
      <c r="M22" s="10">
        <f t="shared" si="83"/>
        <v>60</v>
      </c>
      <c r="N22" s="20">
        <f t="shared" si="108"/>
        <v>374</v>
      </c>
      <c r="O22" s="20">
        <f t="shared" si="109"/>
        <v>379.69543147208122</v>
      </c>
      <c r="P22" s="20">
        <f t="shared" si="110"/>
        <v>5.6954314720812178</v>
      </c>
      <c r="Q22" s="10">
        <f t="shared" si="84"/>
        <v>60</v>
      </c>
      <c r="R22" s="20">
        <f t="shared" si="31"/>
        <v>-7</v>
      </c>
      <c r="S22" s="20">
        <f t="shared" si="111"/>
        <v>-7</v>
      </c>
      <c r="T22" s="20">
        <f t="shared" si="112"/>
        <v>0</v>
      </c>
      <c r="U22" s="10">
        <f t="shared" si="87"/>
        <v>60</v>
      </c>
      <c r="V22" s="20">
        <f t="shared" si="113"/>
        <v>21</v>
      </c>
      <c r="X22" s="20">
        <f t="shared" si="35"/>
        <v>12</v>
      </c>
      <c r="Z22" s="20">
        <f t="shared" si="36"/>
        <v>0</v>
      </c>
      <c r="AA22" s="10">
        <f t="shared" si="88"/>
        <v>60</v>
      </c>
      <c r="AB22" s="20">
        <f t="shared" si="37"/>
        <v>5</v>
      </c>
      <c r="AC22" s="20"/>
      <c r="AD22" s="20"/>
      <c r="AE22" s="20"/>
      <c r="AF22" s="25">
        <f t="shared" si="4"/>
        <v>890</v>
      </c>
      <c r="AG22" s="25">
        <f t="shared" si="38"/>
        <v>65</v>
      </c>
      <c r="AH22" s="25">
        <f t="shared" si="5"/>
        <v>45</v>
      </c>
      <c r="AI22" s="25">
        <f t="shared" si="114"/>
        <v>1000</v>
      </c>
      <c r="AK22" s="25">
        <f t="shared" si="6"/>
        <v>9.1370558375634516</v>
      </c>
      <c r="AL22" s="25">
        <f t="shared" si="7"/>
        <v>5.6954314720812178</v>
      </c>
      <c r="AM22" s="25">
        <f t="shared" si="8"/>
        <v>0</v>
      </c>
      <c r="AN22" s="26">
        <v>60</v>
      </c>
      <c r="AO22" s="25">
        <f t="shared" si="9"/>
        <v>609.13705583756348</v>
      </c>
      <c r="AP22" s="25">
        <f t="shared" si="10"/>
        <v>379.69543147208122</v>
      </c>
      <c r="AQ22" s="25">
        <f t="shared" si="11"/>
        <v>-7</v>
      </c>
      <c r="AR22" s="25">
        <f t="shared" si="12"/>
        <v>21</v>
      </c>
      <c r="AS22" s="25">
        <f t="shared" si="115"/>
        <v>1000</v>
      </c>
      <c r="AT22" s="20">
        <f t="shared" si="13"/>
        <v>12</v>
      </c>
      <c r="AU22" s="20">
        <f t="shared" si="14"/>
        <v>0</v>
      </c>
      <c r="AW22" s="20">
        <f t="shared" si="41"/>
        <v>2.2952284263959393</v>
      </c>
      <c r="AX22" s="20">
        <f t="shared" si="42"/>
        <v>1.4306923857868021</v>
      </c>
      <c r="AY22" s="111">
        <f t="shared" si="43"/>
        <v>0</v>
      </c>
      <c r="AZ22" s="20">
        <f t="shared" si="44"/>
        <v>0.15825600000000001</v>
      </c>
      <c r="BA22" s="20">
        <f t="shared" si="45"/>
        <v>3.7679999999999998</v>
      </c>
      <c r="BB22" s="111">
        <f t="shared" si="46"/>
        <v>4.5215999999999999E-2</v>
      </c>
      <c r="BC22" s="111">
        <f t="shared" si="47"/>
        <v>0</v>
      </c>
      <c r="BE22" s="26"/>
      <c r="BF22" s="20">
        <f t="shared" si="48"/>
        <v>0</v>
      </c>
      <c r="BG22" s="20">
        <f t="shared" si="49"/>
        <v>0</v>
      </c>
      <c r="BH22" s="111">
        <f t="shared" si="50"/>
        <v>0</v>
      </c>
      <c r="BI22" s="20">
        <f t="shared" si="49"/>
        <v>0</v>
      </c>
      <c r="BJ22" s="20">
        <f t="shared" si="49"/>
        <v>0</v>
      </c>
      <c r="BK22" s="111">
        <f t="shared" si="51"/>
        <v>0</v>
      </c>
      <c r="BL22" s="111">
        <f t="shared" si="51"/>
        <v>0</v>
      </c>
      <c r="BO22" s="20">
        <f t="shared" si="52"/>
        <v>0</v>
      </c>
      <c r="BP22" s="20">
        <f t="shared" si="53"/>
        <v>0</v>
      </c>
      <c r="BQ22" s="111">
        <f t="shared" si="54"/>
        <v>0</v>
      </c>
      <c r="BR22" s="20">
        <f t="shared" si="55"/>
        <v>0</v>
      </c>
      <c r="BS22" s="20">
        <f t="shared" si="56"/>
        <v>0</v>
      </c>
      <c r="BT22" s="111">
        <f t="shared" si="57"/>
        <v>0</v>
      </c>
      <c r="BU22" s="111">
        <f t="shared" si="58"/>
        <v>0</v>
      </c>
      <c r="BW22" s="26"/>
      <c r="BX22" s="20">
        <f t="shared" si="59"/>
        <v>0</v>
      </c>
      <c r="BY22" s="20">
        <f t="shared" si="60"/>
        <v>0</v>
      </c>
      <c r="BZ22" s="111">
        <f t="shared" si="61"/>
        <v>0</v>
      </c>
      <c r="CA22" s="20">
        <f t="shared" si="62"/>
        <v>0</v>
      </c>
      <c r="CB22" s="20">
        <f t="shared" si="63"/>
        <v>0</v>
      </c>
      <c r="CC22" s="111">
        <f t="shared" si="64"/>
        <v>0</v>
      </c>
      <c r="CD22" s="111">
        <f t="shared" si="65"/>
        <v>0</v>
      </c>
      <c r="CG22" s="20">
        <f t="shared" si="17"/>
        <v>1.4984771573604061</v>
      </c>
      <c r="CH22" s="20">
        <f t="shared" si="66"/>
        <v>0.95303553299492394</v>
      </c>
      <c r="CI22" s="75">
        <f t="shared" si="67"/>
        <v>0</v>
      </c>
      <c r="CJ22" s="75">
        <f t="shared" si="68"/>
        <v>7.665</v>
      </c>
      <c r="CK22" s="75">
        <f t="shared" si="69"/>
        <v>9.2880000000000003</v>
      </c>
      <c r="CL22" s="75">
        <f t="shared" si="70"/>
        <v>0</v>
      </c>
      <c r="CM22" s="36">
        <f t="shared" si="71"/>
        <v>19.404512690355332</v>
      </c>
      <c r="CO22" s="10">
        <f t="shared" si="89"/>
        <v>60</v>
      </c>
      <c r="CP22" s="104" t="s">
        <v>276</v>
      </c>
      <c r="CQ22" s="102">
        <f t="shared" si="18"/>
        <v>19.404512690355332</v>
      </c>
      <c r="CR22" s="102">
        <f t="shared" si="72"/>
        <v>3.9293928121827415</v>
      </c>
      <c r="CS22" s="102">
        <f t="shared" si="19"/>
        <v>10.24160003478646</v>
      </c>
      <c r="CT22" s="102">
        <f t="shared" si="73"/>
        <v>3.7679999999999998</v>
      </c>
      <c r="CU22" s="36">
        <f t="shared" si="116"/>
        <v>37.343505537324532</v>
      </c>
      <c r="CV22" s="103">
        <f t="shared" si="20"/>
        <v>0.69118546351900678</v>
      </c>
      <c r="CW22" s="20">
        <f t="shared" si="21"/>
        <v>3.202238830889879</v>
      </c>
      <c r="CY22" s="10">
        <f t="shared" si="91"/>
        <v>60</v>
      </c>
      <c r="CZ22" s="104" t="s">
        <v>276</v>
      </c>
      <c r="DA22" s="102">
        <f t="shared" si="75"/>
        <v>49.462102847715741</v>
      </c>
      <c r="DB22" s="102">
        <f t="shared" si="76"/>
        <v>10.016022278253807</v>
      </c>
      <c r="DC22" s="102">
        <f t="shared" si="77"/>
        <v>26.105838488670685</v>
      </c>
      <c r="DD22" s="102">
        <f t="shared" si="78"/>
        <v>9.6046319999999987</v>
      </c>
      <c r="DE22" s="36">
        <f t="shared" si="117"/>
        <v>95.188595614640221</v>
      </c>
      <c r="DF22" s="103">
        <f t="shared" si="22"/>
        <v>0.69118546351900667</v>
      </c>
      <c r="DG22" s="20"/>
    </row>
    <row r="23" spans="2:111" x14ac:dyDescent="0.25">
      <c r="C23" s="66"/>
      <c r="F23" s="105">
        <v>0.65</v>
      </c>
      <c r="G23" s="10">
        <f t="shared" si="102"/>
        <v>650</v>
      </c>
      <c r="H23" s="20">
        <f t="shared" si="103"/>
        <v>659.89847715736039</v>
      </c>
      <c r="I23" s="20">
        <f t="shared" si="104"/>
        <v>9.8984771573604053</v>
      </c>
      <c r="J23" s="20">
        <f t="shared" si="105"/>
        <v>559</v>
      </c>
      <c r="K23" s="20">
        <f t="shared" si="106"/>
        <v>65</v>
      </c>
      <c r="L23" s="20">
        <f t="shared" si="107"/>
        <v>26</v>
      </c>
      <c r="M23" s="10">
        <f t="shared" si="83"/>
        <v>65</v>
      </c>
      <c r="N23" s="20">
        <f t="shared" si="108"/>
        <v>331</v>
      </c>
      <c r="O23" s="20">
        <f t="shared" si="109"/>
        <v>336.04060913705587</v>
      </c>
      <c r="P23" s="20">
        <f t="shared" si="110"/>
        <v>5.0406091370558377</v>
      </c>
      <c r="Q23" s="10">
        <f t="shared" si="84"/>
        <v>65</v>
      </c>
      <c r="R23" s="20">
        <f t="shared" si="31"/>
        <v>-12</v>
      </c>
      <c r="S23" s="20">
        <f t="shared" si="111"/>
        <v>-12</v>
      </c>
      <c r="T23" s="20">
        <f t="shared" si="112"/>
        <v>0</v>
      </c>
      <c r="U23" s="10">
        <f t="shared" si="87"/>
        <v>65</v>
      </c>
      <c r="V23" s="20">
        <f t="shared" si="113"/>
        <v>19</v>
      </c>
      <c r="X23" s="20">
        <f t="shared" si="35"/>
        <v>12</v>
      </c>
      <c r="Z23" s="20">
        <f t="shared" si="36"/>
        <v>0</v>
      </c>
      <c r="AA23" s="10">
        <f t="shared" si="88"/>
        <v>65</v>
      </c>
      <c r="AB23" s="20">
        <f t="shared" si="37"/>
        <v>0</v>
      </c>
      <c r="AC23" s="20"/>
      <c r="AD23" s="20"/>
      <c r="AE23" s="20"/>
      <c r="AF23" s="25">
        <f t="shared" si="4"/>
        <v>890</v>
      </c>
      <c r="AG23" s="25">
        <f t="shared" si="38"/>
        <v>65</v>
      </c>
      <c r="AH23" s="25">
        <f t="shared" si="5"/>
        <v>45</v>
      </c>
      <c r="AI23" s="25">
        <f t="shared" si="114"/>
        <v>1000</v>
      </c>
      <c r="AK23" s="25">
        <f t="shared" si="6"/>
        <v>9.8984771573604053</v>
      </c>
      <c r="AL23" s="25">
        <f t="shared" si="7"/>
        <v>5.0406091370558377</v>
      </c>
      <c r="AM23" s="25">
        <f t="shared" si="8"/>
        <v>0</v>
      </c>
      <c r="AN23" s="26">
        <v>65</v>
      </c>
      <c r="AO23" s="25">
        <f t="shared" si="9"/>
        <v>659.89847715736039</v>
      </c>
      <c r="AP23" s="25">
        <f t="shared" si="10"/>
        <v>336.04060913705587</v>
      </c>
      <c r="AQ23" s="25">
        <f t="shared" si="11"/>
        <v>-12</v>
      </c>
      <c r="AR23" s="25">
        <f t="shared" si="12"/>
        <v>19</v>
      </c>
      <c r="AS23" s="25">
        <f t="shared" si="115"/>
        <v>1000</v>
      </c>
      <c r="AT23" s="20">
        <f t="shared" si="13"/>
        <v>12</v>
      </c>
      <c r="AU23" s="20">
        <f t="shared" si="14"/>
        <v>0</v>
      </c>
      <c r="AW23" s="20">
        <f t="shared" si="41"/>
        <v>2.4864974619289337</v>
      </c>
      <c r="AX23" s="20">
        <f t="shared" si="42"/>
        <v>1.2662010152284264</v>
      </c>
      <c r="AY23" s="111">
        <f t="shared" si="43"/>
        <v>0</v>
      </c>
      <c r="AZ23" s="20">
        <f t="shared" si="44"/>
        <v>0.14318400000000001</v>
      </c>
      <c r="BA23" s="20">
        <f t="shared" si="45"/>
        <v>3.7679999999999998</v>
      </c>
      <c r="BB23" s="111">
        <f t="shared" si="46"/>
        <v>4.5215999999999999E-2</v>
      </c>
      <c r="BC23" s="111">
        <f t="shared" si="47"/>
        <v>0</v>
      </c>
      <c r="BE23" s="26"/>
      <c r="BF23" s="20">
        <f t="shared" si="48"/>
        <v>0</v>
      </c>
      <c r="BG23" s="20">
        <f t="shared" si="49"/>
        <v>0</v>
      </c>
      <c r="BH23" s="111">
        <f t="shared" si="50"/>
        <v>0</v>
      </c>
      <c r="BI23" s="20">
        <f t="shared" si="49"/>
        <v>0</v>
      </c>
      <c r="BJ23" s="20">
        <f t="shared" si="49"/>
        <v>0</v>
      </c>
      <c r="BK23" s="111">
        <f t="shared" si="51"/>
        <v>0</v>
      </c>
      <c r="BL23" s="111">
        <f t="shared" si="51"/>
        <v>0</v>
      </c>
      <c r="BO23" s="20">
        <f t="shared" si="52"/>
        <v>0</v>
      </c>
      <c r="BP23" s="20">
        <f t="shared" si="53"/>
        <v>0</v>
      </c>
      <c r="BQ23" s="111">
        <f t="shared" si="54"/>
        <v>0</v>
      </c>
      <c r="BR23" s="20">
        <f t="shared" si="55"/>
        <v>0</v>
      </c>
      <c r="BS23" s="20">
        <f t="shared" si="56"/>
        <v>0</v>
      </c>
      <c r="BT23" s="111">
        <f t="shared" si="57"/>
        <v>0</v>
      </c>
      <c r="BU23" s="111">
        <f t="shared" si="58"/>
        <v>0</v>
      </c>
      <c r="BW23" s="26"/>
      <c r="BX23" s="20">
        <f t="shared" si="59"/>
        <v>0</v>
      </c>
      <c r="BY23" s="20">
        <f t="shared" si="60"/>
        <v>0</v>
      </c>
      <c r="BZ23" s="111">
        <f t="shared" si="61"/>
        <v>0</v>
      </c>
      <c r="CA23" s="20">
        <f t="shared" si="62"/>
        <v>0</v>
      </c>
      <c r="CB23" s="20">
        <f t="shared" si="63"/>
        <v>0</v>
      </c>
      <c r="CC23" s="111">
        <f t="shared" si="64"/>
        <v>0</v>
      </c>
      <c r="CD23" s="111">
        <f t="shared" si="65"/>
        <v>0</v>
      </c>
      <c r="CG23" s="20">
        <f t="shared" si="17"/>
        <v>1.6233502538071065</v>
      </c>
      <c r="CH23" s="20">
        <f t="shared" si="66"/>
        <v>0.84346192893401029</v>
      </c>
      <c r="CI23" s="75">
        <f t="shared" si="67"/>
        <v>0</v>
      </c>
      <c r="CJ23" s="75">
        <f t="shared" si="68"/>
        <v>6.9349999999999996</v>
      </c>
      <c r="CK23" s="75">
        <f t="shared" si="69"/>
        <v>9.2880000000000003</v>
      </c>
      <c r="CL23" s="75">
        <f t="shared" si="70"/>
        <v>0</v>
      </c>
      <c r="CM23" s="36">
        <f t="shared" si="71"/>
        <v>18.689812182741115</v>
      </c>
      <c r="CO23" s="10">
        <f t="shared" si="89"/>
        <v>65</v>
      </c>
      <c r="CP23" s="104" t="s">
        <v>277</v>
      </c>
      <c r="CQ23" s="102">
        <f t="shared" si="18"/>
        <v>18.689812182741115</v>
      </c>
      <c r="CR23" s="102">
        <f t="shared" si="72"/>
        <v>3.9410984771573605</v>
      </c>
      <c r="CS23" s="102">
        <f t="shared" si="19"/>
        <v>9.5824303175688819</v>
      </c>
      <c r="CT23" s="102">
        <f t="shared" si="73"/>
        <v>3.7679999999999998</v>
      </c>
      <c r="CU23" s="36">
        <f t="shared" si="116"/>
        <v>35.981340977467354</v>
      </c>
      <c r="CV23" s="103">
        <f t="shared" si="20"/>
        <v>0.66597335958963633</v>
      </c>
      <c r="CW23" s="20">
        <f t="shared" si="21"/>
        <v>2.9773067838873342</v>
      </c>
      <c r="CY23" s="10">
        <f t="shared" si="91"/>
        <v>65</v>
      </c>
      <c r="CZ23" s="104" t="s">
        <v>277</v>
      </c>
      <c r="DA23" s="102">
        <f t="shared" si="75"/>
        <v>47.640331253807098</v>
      </c>
      <c r="DB23" s="102">
        <f t="shared" si="76"/>
        <v>10.045860018274112</v>
      </c>
      <c r="DC23" s="102">
        <f t="shared" si="77"/>
        <v>24.425614879483078</v>
      </c>
      <c r="DD23" s="102">
        <f t="shared" si="78"/>
        <v>9.6046319999999987</v>
      </c>
      <c r="DE23" s="36">
        <f t="shared" si="117"/>
        <v>91.716438151564276</v>
      </c>
      <c r="DF23" s="103">
        <f t="shared" si="22"/>
        <v>0.66597335958963622</v>
      </c>
      <c r="DG23" s="20"/>
    </row>
    <row r="24" spans="2:111" x14ac:dyDescent="0.25">
      <c r="B24" s="95" t="s">
        <v>322</v>
      </c>
      <c r="C24" s="126">
        <f>D81</f>
        <v>0.77400000000000002</v>
      </c>
      <c r="D24" s="52" t="s">
        <v>159</v>
      </c>
      <c r="F24" s="105">
        <v>0.7</v>
      </c>
      <c r="G24" s="10">
        <f t="shared" si="102"/>
        <v>700</v>
      </c>
      <c r="H24" s="20">
        <f t="shared" si="103"/>
        <v>710.65989847715741</v>
      </c>
      <c r="I24" s="20">
        <f t="shared" si="104"/>
        <v>10.659898477157361</v>
      </c>
      <c r="J24" s="20">
        <f t="shared" si="105"/>
        <v>602</v>
      </c>
      <c r="K24" s="20">
        <f t="shared" si="106"/>
        <v>70</v>
      </c>
      <c r="L24" s="20">
        <f t="shared" si="107"/>
        <v>28</v>
      </c>
      <c r="M24" s="10">
        <f t="shared" si="83"/>
        <v>70</v>
      </c>
      <c r="N24" s="20">
        <f t="shared" si="108"/>
        <v>288</v>
      </c>
      <c r="O24" s="20">
        <f t="shared" si="109"/>
        <v>292.38578680203045</v>
      </c>
      <c r="P24" s="20">
        <f t="shared" si="110"/>
        <v>4.3857868020304567</v>
      </c>
      <c r="Q24" s="10">
        <f t="shared" si="84"/>
        <v>70</v>
      </c>
      <c r="R24" s="20">
        <f t="shared" si="31"/>
        <v>-17</v>
      </c>
      <c r="S24" s="20">
        <f t="shared" si="111"/>
        <v>-17</v>
      </c>
      <c r="T24" s="20">
        <f t="shared" si="112"/>
        <v>0</v>
      </c>
      <c r="U24" s="10">
        <f t="shared" si="87"/>
        <v>70</v>
      </c>
      <c r="V24" s="20">
        <f t="shared" si="113"/>
        <v>17</v>
      </c>
      <c r="X24" s="20">
        <f t="shared" si="35"/>
        <v>12</v>
      </c>
      <c r="Z24" s="20">
        <f t="shared" si="36"/>
        <v>0</v>
      </c>
      <c r="AA24" s="10">
        <f t="shared" si="88"/>
        <v>70</v>
      </c>
      <c r="AB24" s="20">
        <f t="shared" si="37"/>
        <v>-5</v>
      </c>
      <c r="AC24" s="20"/>
      <c r="AD24" s="20"/>
      <c r="AE24" s="20"/>
      <c r="AF24" s="25">
        <f t="shared" si="4"/>
        <v>890</v>
      </c>
      <c r="AG24" s="25">
        <f t="shared" si="38"/>
        <v>65</v>
      </c>
      <c r="AH24" s="25">
        <f t="shared" si="5"/>
        <v>45</v>
      </c>
      <c r="AI24" s="25">
        <f t="shared" si="114"/>
        <v>1000</v>
      </c>
      <c r="AK24" s="25">
        <f t="shared" si="6"/>
        <v>10.659898477157361</v>
      </c>
      <c r="AL24" s="25">
        <f t="shared" si="7"/>
        <v>4.3857868020304567</v>
      </c>
      <c r="AM24" s="25">
        <f t="shared" si="8"/>
        <v>0</v>
      </c>
      <c r="AN24" s="26">
        <v>70</v>
      </c>
      <c r="AO24" s="25">
        <f t="shared" si="9"/>
        <v>710.65989847715741</v>
      </c>
      <c r="AP24" s="25">
        <f t="shared" si="10"/>
        <v>292.38578680203045</v>
      </c>
      <c r="AQ24" s="25">
        <f t="shared" si="11"/>
        <v>-17</v>
      </c>
      <c r="AR24" s="25">
        <f t="shared" si="12"/>
        <v>17</v>
      </c>
      <c r="AS24" s="25">
        <f t="shared" si="115"/>
        <v>1000</v>
      </c>
      <c r="AT24" s="20">
        <f t="shared" si="13"/>
        <v>12</v>
      </c>
      <c r="AU24" s="20">
        <f t="shared" si="14"/>
        <v>0</v>
      </c>
      <c r="AW24" s="20">
        <f t="shared" si="41"/>
        <v>2.6777664974619286</v>
      </c>
      <c r="AX24" s="20">
        <f t="shared" si="42"/>
        <v>1.1017096446700509</v>
      </c>
      <c r="AY24" s="111">
        <f t="shared" si="43"/>
        <v>0</v>
      </c>
      <c r="AZ24" s="20">
        <f t="shared" si="44"/>
        <v>0.128112</v>
      </c>
      <c r="BA24" s="20">
        <f t="shared" si="45"/>
        <v>3.7679999999999998</v>
      </c>
      <c r="BB24" s="111">
        <f t="shared" si="46"/>
        <v>4.5215999999999999E-2</v>
      </c>
      <c r="BC24" s="111">
        <f t="shared" si="47"/>
        <v>0</v>
      </c>
      <c r="BE24" s="26"/>
      <c r="BF24" s="20">
        <f t="shared" si="48"/>
        <v>0</v>
      </c>
      <c r="BG24" s="20">
        <f t="shared" si="49"/>
        <v>0</v>
      </c>
      <c r="BH24" s="111">
        <f t="shared" si="50"/>
        <v>0</v>
      </c>
      <c r="BI24" s="20">
        <f t="shared" si="49"/>
        <v>0</v>
      </c>
      <c r="BJ24" s="20">
        <f t="shared" si="49"/>
        <v>0</v>
      </c>
      <c r="BK24" s="111">
        <f t="shared" si="51"/>
        <v>0</v>
      </c>
      <c r="BL24" s="111">
        <f t="shared" si="51"/>
        <v>0</v>
      </c>
      <c r="BO24" s="20">
        <f t="shared" si="52"/>
        <v>0</v>
      </c>
      <c r="BP24" s="20">
        <f t="shared" si="53"/>
        <v>0</v>
      </c>
      <c r="BQ24" s="111">
        <f t="shared" si="54"/>
        <v>0</v>
      </c>
      <c r="BR24" s="20">
        <f t="shared" si="55"/>
        <v>0</v>
      </c>
      <c r="BS24" s="20">
        <f t="shared" si="56"/>
        <v>0</v>
      </c>
      <c r="BT24" s="111">
        <f t="shared" si="57"/>
        <v>0</v>
      </c>
      <c r="BU24" s="111">
        <f t="shared" si="58"/>
        <v>0</v>
      </c>
      <c r="BW24" s="26"/>
      <c r="BX24" s="20">
        <f t="shared" si="59"/>
        <v>0</v>
      </c>
      <c r="BY24" s="20">
        <f t="shared" si="60"/>
        <v>0</v>
      </c>
      <c r="BZ24" s="111">
        <f t="shared" si="61"/>
        <v>0</v>
      </c>
      <c r="CA24" s="20">
        <f t="shared" si="62"/>
        <v>0</v>
      </c>
      <c r="CB24" s="20">
        <f t="shared" si="63"/>
        <v>0</v>
      </c>
      <c r="CC24" s="111">
        <f t="shared" si="64"/>
        <v>0</v>
      </c>
      <c r="CD24" s="111">
        <f t="shared" si="65"/>
        <v>0</v>
      </c>
      <c r="CG24" s="20">
        <f t="shared" si="17"/>
        <v>1.7482233502538072</v>
      </c>
      <c r="CH24" s="20">
        <f t="shared" si="66"/>
        <v>0.73388832487309641</v>
      </c>
      <c r="CI24" s="75">
        <f t="shared" si="67"/>
        <v>0</v>
      </c>
      <c r="CJ24" s="75">
        <f t="shared" si="68"/>
        <v>6.2050000000000001</v>
      </c>
      <c r="CK24" s="75">
        <f t="shared" si="69"/>
        <v>9.2880000000000003</v>
      </c>
      <c r="CL24" s="75">
        <f t="shared" si="70"/>
        <v>0</v>
      </c>
      <c r="CM24" s="36">
        <f t="shared" si="71"/>
        <v>17.975111675126904</v>
      </c>
      <c r="CO24" s="10">
        <f t="shared" si="89"/>
        <v>70</v>
      </c>
      <c r="CP24" s="104" t="s">
        <v>278</v>
      </c>
      <c r="CQ24" s="102">
        <f t="shared" si="18"/>
        <v>17.975111675126904</v>
      </c>
      <c r="CR24" s="102">
        <f t="shared" si="72"/>
        <v>3.9528041421319795</v>
      </c>
      <c r="CS24" s="102">
        <f t="shared" si="19"/>
        <v>8.9233409363475698</v>
      </c>
      <c r="CT24" s="102">
        <f t="shared" si="73"/>
        <v>3.7679999999999998</v>
      </c>
      <c r="CU24" s="36">
        <f t="shared" si="116"/>
        <v>34.619256753606457</v>
      </c>
      <c r="CV24" s="103">
        <f t="shared" si="20"/>
        <v>0.64076274258743104</v>
      </c>
      <c r="CW24" s="20">
        <f t="shared" si="21"/>
        <v>2.7523747368847893</v>
      </c>
      <c r="CY24" s="10">
        <f t="shared" si="91"/>
        <v>70</v>
      </c>
      <c r="CZ24" s="104" t="s">
        <v>278</v>
      </c>
      <c r="DA24" s="102">
        <f t="shared" si="75"/>
        <v>45.818559659898476</v>
      </c>
      <c r="DB24" s="102">
        <f t="shared" si="76"/>
        <v>10.075697758294416</v>
      </c>
      <c r="DC24" s="102">
        <f t="shared" si="77"/>
        <v>22.745596046749956</v>
      </c>
      <c r="DD24" s="102">
        <f t="shared" si="78"/>
        <v>9.6046319999999987</v>
      </c>
      <c r="DE24" s="36">
        <f t="shared" si="117"/>
        <v>88.244485464942841</v>
      </c>
      <c r="DF24" s="103">
        <f t="shared" si="22"/>
        <v>0.64076274258743093</v>
      </c>
      <c r="DG24" s="20"/>
    </row>
    <row r="25" spans="2:111" x14ac:dyDescent="0.25">
      <c r="C25" s="66"/>
      <c r="F25" s="105">
        <v>0.75</v>
      </c>
      <c r="G25" s="10">
        <f t="shared" si="102"/>
        <v>750</v>
      </c>
      <c r="H25" s="20">
        <f t="shared" si="103"/>
        <v>761.42131979695432</v>
      </c>
      <c r="I25" s="20">
        <f t="shared" si="104"/>
        <v>11.421319796954315</v>
      </c>
      <c r="J25" s="20">
        <f t="shared" si="105"/>
        <v>645</v>
      </c>
      <c r="K25" s="20">
        <f t="shared" si="106"/>
        <v>75</v>
      </c>
      <c r="L25" s="20">
        <f t="shared" si="107"/>
        <v>30</v>
      </c>
      <c r="M25" s="10">
        <f t="shared" si="83"/>
        <v>75</v>
      </c>
      <c r="N25" s="20">
        <f t="shared" si="108"/>
        <v>245</v>
      </c>
      <c r="O25" s="20">
        <f t="shared" si="109"/>
        <v>248.73096446700507</v>
      </c>
      <c r="P25" s="20">
        <f t="shared" si="110"/>
        <v>3.7309644670050757</v>
      </c>
      <c r="Q25" s="10">
        <f t="shared" si="84"/>
        <v>75</v>
      </c>
      <c r="R25" s="20">
        <f t="shared" si="31"/>
        <v>-22</v>
      </c>
      <c r="S25" s="20">
        <f t="shared" si="111"/>
        <v>-22</v>
      </c>
      <c r="T25" s="20">
        <f t="shared" si="112"/>
        <v>0</v>
      </c>
      <c r="U25" s="10">
        <f t="shared" si="87"/>
        <v>75</v>
      </c>
      <c r="V25" s="20">
        <f t="shared" si="113"/>
        <v>15</v>
      </c>
      <c r="X25" s="20">
        <f t="shared" si="35"/>
        <v>12</v>
      </c>
      <c r="Z25" s="20">
        <f t="shared" si="36"/>
        <v>0</v>
      </c>
      <c r="AA25" s="10">
        <f t="shared" si="88"/>
        <v>75</v>
      </c>
      <c r="AB25" s="20">
        <f t="shared" si="37"/>
        <v>-10</v>
      </c>
      <c r="AC25" s="20"/>
      <c r="AD25" s="20"/>
      <c r="AE25" s="20"/>
      <c r="AF25" s="25">
        <f t="shared" si="4"/>
        <v>890</v>
      </c>
      <c r="AG25" s="25">
        <f t="shared" si="38"/>
        <v>65</v>
      </c>
      <c r="AH25" s="25">
        <f t="shared" si="5"/>
        <v>45</v>
      </c>
      <c r="AI25" s="25">
        <f t="shared" si="114"/>
        <v>1000</v>
      </c>
      <c r="AK25" s="25">
        <f t="shared" si="6"/>
        <v>11.421319796954315</v>
      </c>
      <c r="AL25" s="25">
        <f t="shared" si="7"/>
        <v>3.7309644670050757</v>
      </c>
      <c r="AM25" s="25">
        <f t="shared" si="8"/>
        <v>0</v>
      </c>
      <c r="AN25" s="26">
        <v>75</v>
      </c>
      <c r="AO25" s="25">
        <f t="shared" si="9"/>
        <v>761.42131979695432</v>
      </c>
      <c r="AP25" s="25">
        <f t="shared" si="10"/>
        <v>248.73096446700507</v>
      </c>
      <c r="AQ25" s="25">
        <f t="shared" si="11"/>
        <v>-22</v>
      </c>
      <c r="AR25" s="25">
        <f t="shared" si="12"/>
        <v>15</v>
      </c>
      <c r="AS25" s="25">
        <f t="shared" si="115"/>
        <v>1000</v>
      </c>
      <c r="AT25" s="20">
        <f t="shared" si="13"/>
        <v>12</v>
      </c>
      <c r="AU25" s="20">
        <f t="shared" si="14"/>
        <v>0</v>
      </c>
      <c r="AW25" s="20">
        <f t="shared" si="41"/>
        <v>2.869035532994924</v>
      </c>
      <c r="AX25" s="20">
        <f t="shared" si="42"/>
        <v>0.93721827411167513</v>
      </c>
      <c r="AY25" s="111">
        <f t="shared" si="43"/>
        <v>0</v>
      </c>
      <c r="AZ25" s="20">
        <f t="shared" si="44"/>
        <v>0.11303999999999999</v>
      </c>
      <c r="BA25" s="20">
        <f t="shared" si="45"/>
        <v>3.7679999999999998</v>
      </c>
      <c r="BB25" s="111">
        <f t="shared" si="46"/>
        <v>4.5215999999999999E-2</v>
      </c>
      <c r="BC25" s="111">
        <f t="shared" si="47"/>
        <v>0</v>
      </c>
      <c r="BE25" s="26"/>
      <c r="BF25" s="20">
        <f t="shared" si="48"/>
        <v>0</v>
      </c>
      <c r="BG25" s="20">
        <f t="shared" si="49"/>
        <v>0</v>
      </c>
      <c r="BH25" s="111">
        <f t="shared" si="50"/>
        <v>0</v>
      </c>
      <c r="BI25" s="20">
        <f t="shared" si="49"/>
        <v>0</v>
      </c>
      <c r="BJ25" s="20">
        <f t="shared" si="49"/>
        <v>0</v>
      </c>
      <c r="BK25" s="111">
        <f t="shared" si="51"/>
        <v>0</v>
      </c>
      <c r="BL25" s="111">
        <f t="shared" si="51"/>
        <v>0</v>
      </c>
      <c r="BO25" s="20">
        <f t="shared" si="52"/>
        <v>0</v>
      </c>
      <c r="BP25" s="20">
        <f t="shared" si="53"/>
        <v>0</v>
      </c>
      <c r="BQ25" s="111">
        <f t="shared" si="54"/>
        <v>0</v>
      </c>
      <c r="BR25" s="20">
        <f t="shared" si="55"/>
        <v>0</v>
      </c>
      <c r="BS25" s="20">
        <f t="shared" si="56"/>
        <v>0</v>
      </c>
      <c r="BT25" s="111">
        <f t="shared" si="57"/>
        <v>0</v>
      </c>
      <c r="BU25" s="111">
        <f t="shared" si="58"/>
        <v>0</v>
      </c>
      <c r="BW25" s="26"/>
      <c r="BX25" s="20">
        <f t="shared" si="59"/>
        <v>0</v>
      </c>
      <c r="BY25" s="20">
        <f t="shared" si="60"/>
        <v>0</v>
      </c>
      <c r="BZ25" s="111">
        <f t="shared" si="61"/>
        <v>0</v>
      </c>
      <c r="CA25" s="20">
        <f t="shared" si="62"/>
        <v>0</v>
      </c>
      <c r="CB25" s="20">
        <f t="shared" si="63"/>
        <v>0</v>
      </c>
      <c r="CC25" s="111">
        <f t="shared" si="64"/>
        <v>0</v>
      </c>
      <c r="CD25" s="111">
        <f t="shared" si="65"/>
        <v>0</v>
      </c>
      <c r="CG25" s="20">
        <f t="shared" si="17"/>
        <v>1.8730964467005076</v>
      </c>
      <c r="CH25" s="20">
        <f t="shared" si="66"/>
        <v>0.62431472081218276</v>
      </c>
      <c r="CI25" s="75">
        <f t="shared" si="67"/>
        <v>0</v>
      </c>
      <c r="CJ25" s="75">
        <f t="shared" si="68"/>
        <v>5.4749999999999996</v>
      </c>
      <c r="CK25" s="75">
        <f t="shared" si="69"/>
        <v>9.2880000000000003</v>
      </c>
      <c r="CL25" s="75">
        <f t="shared" si="70"/>
        <v>0</v>
      </c>
      <c r="CM25" s="36">
        <f t="shared" si="71"/>
        <v>17.260411167512689</v>
      </c>
      <c r="CO25" s="10">
        <f t="shared" si="89"/>
        <v>75</v>
      </c>
      <c r="CP25" s="104" t="s">
        <v>279</v>
      </c>
      <c r="CQ25" s="102">
        <f t="shared" si="18"/>
        <v>17.260411167512689</v>
      </c>
      <c r="CR25" s="102">
        <f t="shared" si="72"/>
        <v>3.9645098071065989</v>
      </c>
      <c r="CS25" s="102">
        <f t="shared" si="19"/>
        <v>8.2643326944824871</v>
      </c>
      <c r="CT25" s="102">
        <f t="shared" si="73"/>
        <v>3.7679999999999998</v>
      </c>
      <c r="CU25" s="36">
        <f t="shared" si="116"/>
        <v>33.257253669101772</v>
      </c>
      <c r="CV25" s="103">
        <f t="shared" si="20"/>
        <v>0.61555362738166197</v>
      </c>
      <c r="CW25" s="20">
        <f t="shared" si="21"/>
        <v>2.5274426898822444</v>
      </c>
      <c r="CY25" s="10">
        <f t="shared" si="91"/>
        <v>75</v>
      </c>
      <c r="CZ25" s="104" t="s">
        <v>279</v>
      </c>
      <c r="DA25" s="102">
        <f t="shared" si="75"/>
        <v>43.996788065989847</v>
      </c>
      <c r="DB25" s="102">
        <f t="shared" si="76"/>
        <v>10.105535498314721</v>
      </c>
      <c r="DC25" s="102">
        <f t="shared" si="77"/>
        <v>21.065784038235858</v>
      </c>
      <c r="DD25" s="102">
        <f t="shared" si="78"/>
        <v>9.6046319999999987</v>
      </c>
      <c r="DE25" s="36">
        <f t="shared" si="117"/>
        <v>84.772739602540426</v>
      </c>
      <c r="DF25" s="103">
        <f t="shared" si="22"/>
        <v>0.61555362738166208</v>
      </c>
      <c r="DG25" s="20"/>
    </row>
    <row r="26" spans="2:111" x14ac:dyDescent="0.25">
      <c r="B26" s="108" t="s">
        <v>370</v>
      </c>
      <c r="C26" s="126">
        <f>D82</f>
        <v>2.1642857142857144E-2</v>
      </c>
      <c r="D26" s="10" t="s">
        <v>21</v>
      </c>
      <c r="F26" s="105">
        <v>0.8</v>
      </c>
      <c r="G26" s="10">
        <f t="shared" si="102"/>
        <v>800</v>
      </c>
      <c r="H26" s="20">
        <f t="shared" si="103"/>
        <v>812.18274111675123</v>
      </c>
      <c r="I26" s="20">
        <f t="shared" si="104"/>
        <v>12.182741116751268</v>
      </c>
      <c r="J26" s="20">
        <f t="shared" si="105"/>
        <v>688</v>
      </c>
      <c r="K26" s="20">
        <f t="shared" si="106"/>
        <v>80</v>
      </c>
      <c r="L26" s="20">
        <f t="shared" si="107"/>
        <v>32</v>
      </c>
      <c r="M26" s="10">
        <f t="shared" si="83"/>
        <v>80</v>
      </c>
      <c r="N26" s="20">
        <f t="shared" si="108"/>
        <v>202</v>
      </c>
      <c r="O26" s="20">
        <f t="shared" si="109"/>
        <v>205.07614213197971</v>
      </c>
      <c r="P26" s="20">
        <f t="shared" si="110"/>
        <v>3.0761421319796955</v>
      </c>
      <c r="Q26" s="10">
        <f t="shared" si="84"/>
        <v>80</v>
      </c>
      <c r="R26" s="20">
        <f t="shared" si="31"/>
        <v>-27</v>
      </c>
      <c r="S26" s="20">
        <f t="shared" si="111"/>
        <v>-27</v>
      </c>
      <c r="T26" s="20">
        <f t="shared" si="112"/>
        <v>0</v>
      </c>
      <c r="U26" s="10">
        <f t="shared" si="87"/>
        <v>80</v>
      </c>
      <c r="V26" s="20">
        <f t="shared" si="113"/>
        <v>13</v>
      </c>
      <c r="X26" s="20">
        <f t="shared" si="35"/>
        <v>12</v>
      </c>
      <c r="Z26" s="20">
        <f t="shared" si="36"/>
        <v>0</v>
      </c>
      <c r="AA26" s="10">
        <f t="shared" si="88"/>
        <v>80</v>
      </c>
      <c r="AB26" s="20">
        <f t="shared" si="37"/>
        <v>-15</v>
      </c>
      <c r="AC26" s="20"/>
      <c r="AD26" s="20"/>
      <c r="AE26" s="20"/>
      <c r="AF26" s="25">
        <f t="shared" si="4"/>
        <v>890</v>
      </c>
      <c r="AG26" s="25">
        <f t="shared" si="38"/>
        <v>65</v>
      </c>
      <c r="AH26" s="25">
        <f t="shared" si="5"/>
        <v>45</v>
      </c>
      <c r="AI26" s="25">
        <f t="shared" si="114"/>
        <v>1000</v>
      </c>
      <c r="AK26" s="25">
        <f t="shared" si="6"/>
        <v>12.182741116751268</v>
      </c>
      <c r="AL26" s="25">
        <f t="shared" si="7"/>
        <v>3.0761421319796955</v>
      </c>
      <c r="AM26" s="25">
        <f t="shared" si="8"/>
        <v>0</v>
      </c>
      <c r="AN26" s="26">
        <v>80</v>
      </c>
      <c r="AO26" s="25">
        <f t="shared" si="9"/>
        <v>812.18274111675123</v>
      </c>
      <c r="AP26" s="25">
        <f t="shared" si="10"/>
        <v>205.07614213197971</v>
      </c>
      <c r="AQ26" s="25">
        <f t="shared" si="11"/>
        <v>-27</v>
      </c>
      <c r="AR26" s="25">
        <f t="shared" si="12"/>
        <v>13</v>
      </c>
      <c r="AS26" s="25">
        <f t="shared" si="115"/>
        <v>1000</v>
      </c>
      <c r="AT26" s="20">
        <f t="shared" si="13"/>
        <v>12</v>
      </c>
      <c r="AU26" s="20">
        <f t="shared" si="14"/>
        <v>0</v>
      </c>
      <c r="AW26" s="20">
        <f t="shared" si="41"/>
        <v>3.0603045685279184</v>
      </c>
      <c r="AX26" s="20">
        <f t="shared" si="42"/>
        <v>0.77272690355329965</v>
      </c>
      <c r="AY26" s="111">
        <f t="shared" si="43"/>
        <v>0</v>
      </c>
      <c r="AZ26" s="20">
        <f t="shared" si="44"/>
        <v>9.7967999999999986E-2</v>
      </c>
      <c r="BA26" s="20">
        <f t="shared" si="45"/>
        <v>3.7679999999999998</v>
      </c>
      <c r="BB26" s="111">
        <f t="shared" si="46"/>
        <v>4.5215999999999999E-2</v>
      </c>
      <c r="BC26" s="111">
        <f t="shared" si="47"/>
        <v>0</v>
      </c>
      <c r="BE26" s="26"/>
      <c r="BF26" s="20">
        <f t="shared" si="48"/>
        <v>0</v>
      </c>
      <c r="BG26" s="20">
        <f t="shared" ref="BG26:BG30" si="118">AP26/1000*$C$26*BG$7</f>
        <v>0</v>
      </c>
      <c r="BH26" s="111">
        <f t="shared" si="50"/>
        <v>0</v>
      </c>
      <c r="BI26" s="20">
        <f t="shared" ref="BI26:BI30" si="119">AR26/1000*$C$26*BI$7</f>
        <v>0</v>
      </c>
      <c r="BJ26" s="20">
        <f t="shared" ref="BJ26:BJ30" si="120">AS26/1000*$C$26*BJ$7</f>
        <v>0</v>
      </c>
      <c r="BK26" s="111">
        <f t="shared" si="51"/>
        <v>0</v>
      </c>
      <c r="BL26" s="111">
        <f t="shared" si="51"/>
        <v>0</v>
      </c>
      <c r="BO26" s="20">
        <f t="shared" si="52"/>
        <v>0</v>
      </c>
      <c r="BP26" s="20">
        <f t="shared" si="53"/>
        <v>0</v>
      </c>
      <c r="BQ26" s="111">
        <f t="shared" si="54"/>
        <v>0</v>
      </c>
      <c r="BR26" s="20">
        <f t="shared" si="55"/>
        <v>0</v>
      </c>
      <c r="BS26" s="20">
        <f t="shared" si="56"/>
        <v>0</v>
      </c>
      <c r="BT26" s="111">
        <f t="shared" si="57"/>
        <v>0</v>
      </c>
      <c r="BU26" s="111">
        <f t="shared" si="58"/>
        <v>0</v>
      </c>
      <c r="BW26" s="26"/>
      <c r="BX26" s="20">
        <f t="shared" si="59"/>
        <v>0</v>
      </c>
      <c r="BY26" s="20">
        <f t="shared" si="60"/>
        <v>0</v>
      </c>
      <c r="BZ26" s="111">
        <f t="shared" si="61"/>
        <v>0</v>
      </c>
      <c r="CA26" s="20">
        <f t="shared" si="62"/>
        <v>0</v>
      </c>
      <c r="CB26" s="20">
        <f t="shared" si="63"/>
        <v>0</v>
      </c>
      <c r="CC26" s="111">
        <f t="shared" si="64"/>
        <v>0</v>
      </c>
      <c r="CD26" s="111">
        <f t="shared" si="65"/>
        <v>0</v>
      </c>
      <c r="CG26" s="20">
        <f t="shared" si="17"/>
        <v>1.997969543147208</v>
      </c>
      <c r="CH26" s="20">
        <f t="shared" si="66"/>
        <v>0.5147411167512691</v>
      </c>
      <c r="CI26" s="75">
        <f t="shared" si="67"/>
        <v>0</v>
      </c>
      <c r="CJ26" s="75">
        <f t="shared" si="68"/>
        <v>4.7450000000000001</v>
      </c>
      <c r="CK26" s="75">
        <f t="shared" si="69"/>
        <v>9.2880000000000003</v>
      </c>
      <c r="CL26" s="75">
        <f t="shared" si="70"/>
        <v>0</v>
      </c>
      <c r="CM26" s="36">
        <f t="shared" si="71"/>
        <v>16.545710659898475</v>
      </c>
      <c r="CO26" s="10">
        <f t="shared" si="89"/>
        <v>80</v>
      </c>
      <c r="CP26" s="104" t="s">
        <v>280</v>
      </c>
      <c r="CQ26" s="102">
        <f t="shared" si="18"/>
        <v>16.545710659898475</v>
      </c>
      <c r="CR26" s="102">
        <f t="shared" si="72"/>
        <v>3.9762154720812179</v>
      </c>
      <c r="CS26" s="102">
        <f t="shared" si="19"/>
        <v>7.6054064033671933</v>
      </c>
      <c r="CT26" s="102">
        <f t="shared" si="73"/>
        <v>3.7679999999999998</v>
      </c>
      <c r="CU26" s="36">
        <f t="shared" si="116"/>
        <v>31.895332535346888</v>
      </c>
      <c r="CV26" s="103">
        <f t="shared" si="20"/>
        <v>0.59034602899029409</v>
      </c>
      <c r="CW26" s="20">
        <f t="shared" si="21"/>
        <v>2.3025106428796995</v>
      </c>
      <c r="CY26" s="10">
        <f t="shared" si="91"/>
        <v>80</v>
      </c>
      <c r="CZ26" s="104" t="s">
        <v>280</v>
      </c>
      <c r="DA26" s="102">
        <f t="shared" si="75"/>
        <v>42.175016472081211</v>
      </c>
      <c r="DB26" s="102">
        <f t="shared" si="76"/>
        <v>10.135373238335024</v>
      </c>
      <c r="DC26" s="102">
        <f t="shared" si="77"/>
        <v>19.386180922182977</v>
      </c>
      <c r="DD26" s="102">
        <f t="shared" si="78"/>
        <v>9.6046319999999987</v>
      </c>
      <c r="DE26" s="36">
        <f t="shared" si="117"/>
        <v>81.3012026325992</v>
      </c>
      <c r="DF26" s="103">
        <f t="shared" si="22"/>
        <v>0.59034602899029398</v>
      </c>
      <c r="DG26" s="20"/>
    </row>
    <row r="27" spans="2:111" x14ac:dyDescent="0.25">
      <c r="C27" s="66"/>
      <c r="F27" s="105">
        <v>0.85</v>
      </c>
      <c r="G27" s="10">
        <f t="shared" si="102"/>
        <v>850</v>
      </c>
      <c r="H27" s="20">
        <f t="shared" si="103"/>
        <v>862.94416243654825</v>
      </c>
      <c r="I27" s="20">
        <f t="shared" si="104"/>
        <v>12.944162436548224</v>
      </c>
      <c r="J27" s="20">
        <f t="shared" si="105"/>
        <v>731</v>
      </c>
      <c r="K27" s="20">
        <f t="shared" si="106"/>
        <v>85</v>
      </c>
      <c r="L27" s="20">
        <f t="shared" si="107"/>
        <v>34</v>
      </c>
      <c r="M27" s="10">
        <f t="shared" si="83"/>
        <v>85</v>
      </c>
      <c r="N27" s="20">
        <f t="shared" si="108"/>
        <v>159</v>
      </c>
      <c r="O27" s="20">
        <f t="shared" si="109"/>
        <v>161.42131979695432</v>
      </c>
      <c r="P27" s="20">
        <f t="shared" si="110"/>
        <v>2.4213197969543145</v>
      </c>
      <c r="Q27" s="10">
        <f t="shared" si="84"/>
        <v>85</v>
      </c>
      <c r="R27" s="20">
        <f t="shared" si="31"/>
        <v>-32</v>
      </c>
      <c r="S27" s="20">
        <f t="shared" si="111"/>
        <v>-32</v>
      </c>
      <c r="T27" s="20">
        <f t="shared" si="112"/>
        <v>0</v>
      </c>
      <c r="U27" s="10">
        <f t="shared" si="87"/>
        <v>85</v>
      </c>
      <c r="V27" s="20">
        <f t="shared" si="113"/>
        <v>11</v>
      </c>
      <c r="X27" s="20">
        <f t="shared" si="35"/>
        <v>12</v>
      </c>
      <c r="Z27" s="20">
        <f t="shared" si="36"/>
        <v>0</v>
      </c>
      <c r="AA27" s="10">
        <f t="shared" si="88"/>
        <v>85</v>
      </c>
      <c r="AB27" s="20">
        <f t="shared" si="37"/>
        <v>-20</v>
      </c>
      <c r="AC27" s="20"/>
      <c r="AD27" s="20"/>
      <c r="AE27" s="20"/>
      <c r="AF27" s="25">
        <f t="shared" si="4"/>
        <v>890</v>
      </c>
      <c r="AG27" s="25">
        <f t="shared" si="38"/>
        <v>65</v>
      </c>
      <c r="AH27" s="25">
        <f t="shared" si="5"/>
        <v>45</v>
      </c>
      <c r="AI27" s="25">
        <f t="shared" si="114"/>
        <v>1000</v>
      </c>
      <c r="AK27" s="25">
        <f t="shared" si="6"/>
        <v>12.944162436548224</v>
      </c>
      <c r="AL27" s="25">
        <f t="shared" si="7"/>
        <v>2.4213197969543145</v>
      </c>
      <c r="AM27" s="25">
        <f t="shared" si="8"/>
        <v>0</v>
      </c>
      <c r="AN27" s="26">
        <v>85</v>
      </c>
      <c r="AO27" s="25">
        <f t="shared" si="9"/>
        <v>862.94416243654825</v>
      </c>
      <c r="AP27" s="25">
        <f t="shared" si="10"/>
        <v>161.42131979695432</v>
      </c>
      <c r="AQ27" s="25">
        <f t="shared" si="11"/>
        <v>-32</v>
      </c>
      <c r="AR27" s="25">
        <f t="shared" si="12"/>
        <v>11</v>
      </c>
      <c r="AS27" s="25">
        <f t="shared" si="115"/>
        <v>1000</v>
      </c>
      <c r="AT27" s="20">
        <f t="shared" si="13"/>
        <v>12</v>
      </c>
      <c r="AU27" s="20">
        <f t="shared" si="14"/>
        <v>0</v>
      </c>
      <c r="AW27" s="20">
        <f t="shared" si="41"/>
        <v>3.2515736040609138</v>
      </c>
      <c r="AX27" s="20">
        <f t="shared" si="42"/>
        <v>0.60823553299492383</v>
      </c>
      <c r="AY27" s="111">
        <f t="shared" si="43"/>
        <v>0</v>
      </c>
      <c r="AZ27" s="20">
        <f t="shared" si="44"/>
        <v>8.2895999999999984E-2</v>
      </c>
      <c r="BA27" s="20">
        <f t="shared" si="45"/>
        <v>3.7679999999999998</v>
      </c>
      <c r="BB27" s="111">
        <f t="shared" si="46"/>
        <v>4.5215999999999999E-2</v>
      </c>
      <c r="BC27" s="111">
        <f t="shared" si="47"/>
        <v>0</v>
      </c>
      <c r="BE27" s="26"/>
      <c r="BF27" s="20">
        <f t="shared" si="48"/>
        <v>0</v>
      </c>
      <c r="BG27" s="20">
        <f t="shared" si="118"/>
        <v>0</v>
      </c>
      <c r="BH27" s="111">
        <f t="shared" si="50"/>
        <v>0</v>
      </c>
      <c r="BI27" s="20">
        <f t="shared" si="119"/>
        <v>0</v>
      </c>
      <c r="BJ27" s="20">
        <f t="shared" si="120"/>
        <v>0</v>
      </c>
      <c r="BK27" s="111">
        <f t="shared" si="51"/>
        <v>0</v>
      </c>
      <c r="BL27" s="111">
        <f t="shared" si="51"/>
        <v>0</v>
      </c>
      <c r="BO27" s="20">
        <f t="shared" si="52"/>
        <v>0</v>
      </c>
      <c r="BP27" s="20">
        <f t="shared" si="53"/>
        <v>0</v>
      </c>
      <c r="BQ27" s="111">
        <f t="shared" si="54"/>
        <v>0</v>
      </c>
      <c r="BR27" s="20">
        <f t="shared" si="55"/>
        <v>0</v>
      </c>
      <c r="BS27" s="20">
        <f t="shared" si="56"/>
        <v>0</v>
      </c>
      <c r="BT27" s="111">
        <f t="shared" si="57"/>
        <v>0</v>
      </c>
      <c r="BU27" s="111">
        <f t="shared" si="58"/>
        <v>0</v>
      </c>
      <c r="BW27" s="26"/>
      <c r="BX27" s="20">
        <f t="shared" si="59"/>
        <v>0</v>
      </c>
      <c r="BY27" s="20">
        <f t="shared" si="60"/>
        <v>0</v>
      </c>
      <c r="BZ27" s="111">
        <f t="shared" si="61"/>
        <v>0</v>
      </c>
      <c r="CA27" s="20">
        <f t="shared" si="62"/>
        <v>0</v>
      </c>
      <c r="CB27" s="20">
        <f t="shared" si="63"/>
        <v>0</v>
      </c>
      <c r="CC27" s="111">
        <f t="shared" si="64"/>
        <v>0</v>
      </c>
      <c r="CD27" s="111">
        <f t="shared" si="65"/>
        <v>0</v>
      </c>
      <c r="CG27" s="20">
        <f t="shared" si="17"/>
        <v>2.1228426395939088</v>
      </c>
      <c r="CH27" s="20">
        <f t="shared" si="66"/>
        <v>0.40516751269035534</v>
      </c>
      <c r="CI27" s="75">
        <f t="shared" si="67"/>
        <v>0</v>
      </c>
      <c r="CJ27" s="75">
        <f t="shared" si="68"/>
        <v>4.0149999999999997</v>
      </c>
      <c r="CK27" s="75">
        <f t="shared" si="69"/>
        <v>9.2880000000000003</v>
      </c>
      <c r="CL27" s="75">
        <f t="shared" si="70"/>
        <v>0</v>
      </c>
      <c r="CM27" s="36">
        <f t="shared" si="71"/>
        <v>15.831010152284264</v>
      </c>
      <c r="CO27" s="10">
        <f t="shared" si="89"/>
        <v>85</v>
      </c>
      <c r="CP27" s="104" t="s">
        <v>281</v>
      </c>
      <c r="CQ27" s="102">
        <f t="shared" si="18"/>
        <v>15.831010152284264</v>
      </c>
      <c r="CR27" s="102">
        <f t="shared" si="72"/>
        <v>3.9879211370558374</v>
      </c>
      <c r="CS27" s="102">
        <f t="shared" si="19"/>
        <v>6.9465628825091912</v>
      </c>
      <c r="CT27" s="102">
        <f t="shared" si="73"/>
        <v>3.7679999999999998</v>
      </c>
      <c r="CU27" s="36">
        <f t="shared" si="116"/>
        <v>30.533494171849295</v>
      </c>
      <c r="CV27" s="103">
        <f t="shared" si="20"/>
        <v>0.56513996258147114</v>
      </c>
      <c r="CW27" s="20">
        <f t="shared" si="21"/>
        <v>2.0775785958771551</v>
      </c>
      <c r="CY27" s="10">
        <f t="shared" si="91"/>
        <v>85</v>
      </c>
      <c r="CZ27" s="104" t="s">
        <v>281</v>
      </c>
      <c r="DA27" s="102">
        <f t="shared" si="75"/>
        <v>40.353244878172589</v>
      </c>
      <c r="DB27" s="102">
        <f t="shared" si="76"/>
        <v>10.165210978355329</v>
      </c>
      <c r="DC27" s="102">
        <f t="shared" si="77"/>
        <v>17.706788787515929</v>
      </c>
      <c r="DD27" s="102">
        <f t="shared" si="78"/>
        <v>9.6046319999999987</v>
      </c>
      <c r="DE27" s="36">
        <f t="shared" si="117"/>
        <v>77.82987664404385</v>
      </c>
      <c r="DF27" s="103">
        <f t="shared" si="22"/>
        <v>0.56513996258147114</v>
      </c>
      <c r="DG27" s="20"/>
    </row>
    <row r="28" spans="2:111" x14ac:dyDescent="0.25">
      <c r="B28" s="108" t="s">
        <v>369</v>
      </c>
      <c r="C28" s="126">
        <f>D83</f>
        <v>3.4091428571428571E-2</v>
      </c>
      <c r="D28" s="10" t="s">
        <v>21</v>
      </c>
      <c r="F28" s="105">
        <v>0.9</v>
      </c>
      <c r="G28" s="10">
        <f t="shared" si="102"/>
        <v>900</v>
      </c>
      <c r="H28" s="20">
        <f t="shared" si="103"/>
        <v>913.70558375634516</v>
      </c>
      <c r="I28" s="20">
        <f t="shared" si="104"/>
        <v>13.705583756345177</v>
      </c>
      <c r="J28" s="20">
        <f t="shared" si="105"/>
        <v>774</v>
      </c>
      <c r="K28" s="20">
        <f t="shared" si="106"/>
        <v>90</v>
      </c>
      <c r="L28" s="20">
        <f t="shared" si="107"/>
        <v>36</v>
      </c>
      <c r="M28" s="10">
        <f t="shared" si="83"/>
        <v>90</v>
      </c>
      <c r="N28" s="20">
        <f t="shared" si="108"/>
        <v>116</v>
      </c>
      <c r="O28" s="20">
        <f t="shared" si="109"/>
        <v>117.76649746192894</v>
      </c>
      <c r="P28" s="20">
        <f t="shared" si="110"/>
        <v>1.766497461928934</v>
      </c>
      <c r="Q28" s="10">
        <f t="shared" si="84"/>
        <v>90</v>
      </c>
      <c r="R28" s="20">
        <f t="shared" si="31"/>
        <v>-37</v>
      </c>
      <c r="S28" s="20">
        <f t="shared" si="111"/>
        <v>-37</v>
      </c>
      <c r="T28" s="20">
        <f t="shared" si="112"/>
        <v>0</v>
      </c>
      <c r="U28" s="10">
        <f t="shared" si="87"/>
        <v>90</v>
      </c>
      <c r="V28" s="20">
        <f t="shared" si="113"/>
        <v>9</v>
      </c>
      <c r="X28" s="20">
        <f t="shared" si="35"/>
        <v>12</v>
      </c>
      <c r="Z28" s="20">
        <f t="shared" si="36"/>
        <v>0</v>
      </c>
      <c r="AA28" s="10">
        <f t="shared" si="88"/>
        <v>90</v>
      </c>
      <c r="AB28" s="20">
        <f t="shared" si="37"/>
        <v>-25</v>
      </c>
      <c r="AC28" s="20"/>
      <c r="AD28" s="20"/>
      <c r="AE28" s="20"/>
      <c r="AF28" s="25">
        <f t="shared" si="4"/>
        <v>890</v>
      </c>
      <c r="AG28" s="25">
        <f t="shared" si="38"/>
        <v>65</v>
      </c>
      <c r="AH28" s="25">
        <f t="shared" si="5"/>
        <v>45</v>
      </c>
      <c r="AI28" s="25">
        <f t="shared" si="114"/>
        <v>1000</v>
      </c>
      <c r="AK28" s="25">
        <f t="shared" si="6"/>
        <v>13.705583756345177</v>
      </c>
      <c r="AL28" s="25">
        <f t="shared" si="7"/>
        <v>1.766497461928934</v>
      </c>
      <c r="AM28" s="25">
        <f t="shared" si="8"/>
        <v>0</v>
      </c>
      <c r="AN28" s="26">
        <v>90</v>
      </c>
      <c r="AO28" s="25">
        <f t="shared" si="9"/>
        <v>913.70558375634516</v>
      </c>
      <c r="AP28" s="25">
        <f t="shared" si="10"/>
        <v>117.76649746192894</v>
      </c>
      <c r="AQ28" s="25">
        <f t="shared" si="11"/>
        <v>-37</v>
      </c>
      <c r="AR28" s="25">
        <f t="shared" si="12"/>
        <v>9</v>
      </c>
      <c r="AS28" s="25">
        <f t="shared" si="115"/>
        <v>1000</v>
      </c>
      <c r="AT28" s="20">
        <f t="shared" si="13"/>
        <v>12</v>
      </c>
      <c r="AU28" s="20">
        <f t="shared" si="14"/>
        <v>0</v>
      </c>
      <c r="AW28" s="20">
        <f t="shared" si="41"/>
        <v>3.4428426395939087</v>
      </c>
      <c r="AX28" s="20">
        <f t="shared" si="42"/>
        <v>0.44374416243654824</v>
      </c>
      <c r="AY28" s="111">
        <f t="shared" si="43"/>
        <v>0</v>
      </c>
      <c r="AZ28" s="20">
        <f t="shared" si="44"/>
        <v>6.7823999999999982E-2</v>
      </c>
      <c r="BA28" s="20">
        <f t="shared" si="45"/>
        <v>3.7679999999999998</v>
      </c>
      <c r="BB28" s="111">
        <f t="shared" si="46"/>
        <v>4.5215999999999999E-2</v>
      </c>
      <c r="BC28" s="111">
        <f t="shared" si="47"/>
        <v>0</v>
      </c>
      <c r="BE28" s="26"/>
      <c r="BF28" s="20">
        <f t="shared" si="48"/>
        <v>0</v>
      </c>
      <c r="BG28" s="20">
        <f t="shared" si="118"/>
        <v>0</v>
      </c>
      <c r="BH28" s="111">
        <f t="shared" si="50"/>
        <v>0</v>
      </c>
      <c r="BI28" s="20">
        <f t="shared" si="119"/>
        <v>0</v>
      </c>
      <c r="BJ28" s="20">
        <f t="shared" si="120"/>
        <v>0</v>
      </c>
      <c r="BK28" s="111">
        <f t="shared" si="51"/>
        <v>0</v>
      </c>
      <c r="BL28" s="111">
        <f t="shared" si="51"/>
        <v>0</v>
      </c>
      <c r="BO28" s="20">
        <f t="shared" si="52"/>
        <v>0</v>
      </c>
      <c r="BP28" s="20">
        <f t="shared" si="53"/>
        <v>0</v>
      </c>
      <c r="BQ28" s="111">
        <f t="shared" si="54"/>
        <v>0</v>
      </c>
      <c r="BR28" s="20">
        <f t="shared" si="55"/>
        <v>0</v>
      </c>
      <c r="BS28" s="20">
        <f t="shared" si="56"/>
        <v>0</v>
      </c>
      <c r="BT28" s="111">
        <f t="shared" si="57"/>
        <v>0</v>
      </c>
      <c r="BU28" s="111">
        <f t="shared" si="58"/>
        <v>0</v>
      </c>
      <c r="BW28" s="26"/>
      <c r="BX28" s="20">
        <f t="shared" si="59"/>
        <v>0</v>
      </c>
      <c r="BY28" s="20">
        <f t="shared" si="60"/>
        <v>0</v>
      </c>
      <c r="BZ28" s="111">
        <f t="shared" si="61"/>
        <v>0</v>
      </c>
      <c r="CA28" s="20">
        <f t="shared" si="62"/>
        <v>0</v>
      </c>
      <c r="CB28" s="20">
        <f t="shared" si="63"/>
        <v>0</v>
      </c>
      <c r="CC28" s="111">
        <f t="shared" si="64"/>
        <v>0</v>
      </c>
      <c r="CD28" s="111">
        <f t="shared" si="65"/>
        <v>0</v>
      </c>
      <c r="CG28" s="20">
        <f t="shared" si="17"/>
        <v>2.2477157360406093</v>
      </c>
      <c r="CH28" s="20">
        <f t="shared" si="66"/>
        <v>0.29559390862944163</v>
      </c>
      <c r="CI28" s="75">
        <f t="shared" si="67"/>
        <v>0</v>
      </c>
      <c r="CJ28" s="75">
        <f t="shared" si="68"/>
        <v>3.2850000000000001</v>
      </c>
      <c r="CK28" s="75">
        <f t="shared" si="69"/>
        <v>9.2880000000000003</v>
      </c>
      <c r="CL28" s="75">
        <f t="shared" si="70"/>
        <v>0</v>
      </c>
      <c r="CM28" s="36">
        <f t="shared" si="71"/>
        <v>15.116309644670052</v>
      </c>
      <c r="CO28" s="10">
        <f t="shared" si="89"/>
        <v>90</v>
      </c>
      <c r="CP28" s="104" t="s">
        <v>282</v>
      </c>
      <c r="CQ28" s="102">
        <f t="shared" si="18"/>
        <v>15.116309644670052</v>
      </c>
      <c r="CR28" s="102">
        <f t="shared" si="72"/>
        <v>3.9996268020304568</v>
      </c>
      <c r="CS28" s="102">
        <f t="shared" si="19"/>
        <v>6.2878029596110485</v>
      </c>
      <c r="CT28" s="102">
        <f t="shared" si="73"/>
        <v>3.7679999999999998</v>
      </c>
      <c r="CU28" s="36">
        <f t="shared" si="116"/>
        <v>29.171739406311559</v>
      </c>
      <c r="CV28" s="103">
        <f t="shared" si="20"/>
        <v>0.53993544347501854</v>
      </c>
      <c r="CW28" s="20">
        <f t="shared" si="21"/>
        <v>1.8526465488746102</v>
      </c>
      <c r="CY28" s="10">
        <f t="shared" si="91"/>
        <v>90</v>
      </c>
      <c r="CZ28" s="104" t="s">
        <v>282</v>
      </c>
      <c r="DA28" s="102">
        <f t="shared" si="75"/>
        <v>38.53147328426396</v>
      </c>
      <c r="DB28" s="102">
        <f t="shared" si="76"/>
        <v>10.195048718375634</v>
      </c>
      <c r="DC28" s="102">
        <f t="shared" si="77"/>
        <v>16.027609744048561</v>
      </c>
      <c r="DD28" s="102">
        <f t="shared" si="78"/>
        <v>9.6046319999999987</v>
      </c>
      <c r="DE28" s="36">
        <f t="shared" si="117"/>
        <v>74.358763746688155</v>
      </c>
      <c r="DF28" s="103">
        <f t="shared" si="22"/>
        <v>0.53993544347501843</v>
      </c>
      <c r="DG28" s="20"/>
    </row>
    <row r="29" spans="2:111" x14ac:dyDescent="0.25">
      <c r="C29" s="66"/>
      <c r="F29" s="105">
        <v>0.95</v>
      </c>
      <c r="G29" s="10">
        <f t="shared" si="102"/>
        <v>950</v>
      </c>
      <c r="H29" s="20">
        <f t="shared" si="103"/>
        <v>964.46700507614219</v>
      </c>
      <c r="I29" s="20">
        <f t="shared" si="104"/>
        <v>14.467005076142133</v>
      </c>
      <c r="J29" s="20">
        <f t="shared" si="105"/>
        <v>817</v>
      </c>
      <c r="K29" s="20">
        <f t="shared" si="106"/>
        <v>95</v>
      </c>
      <c r="L29" s="20">
        <f t="shared" si="107"/>
        <v>38</v>
      </c>
      <c r="M29" s="10">
        <f t="shared" si="83"/>
        <v>95</v>
      </c>
      <c r="N29" s="20">
        <f t="shared" si="108"/>
        <v>73</v>
      </c>
      <c r="O29" s="20">
        <f t="shared" si="109"/>
        <v>74.111675126903549</v>
      </c>
      <c r="P29" s="20">
        <f t="shared" si="110"/>
        <v>1.1116751269035532</v>
      </c>
      <c r="Q29" s="10">
        <f t="shared" si="84"/>
        <v>95</v>
      </c>
      <c r="R29" s="20">
        <f t="shared" si="31"/>
        <v>-42</v>
      </c>
      <c r="S29" s="20">
        <f t="shared" si="111"/>
        <v>-42</v>
      </c>
      <c r="T29" s="20">
        <f t="shared" si="112"/>
        <v>0</v>
      </c>
      <c r="U29" s="10">
        <f t="shared" si="87"/>
        <v>95</v>
      </c>
      <c r="V29" s="20">
        <f t="shared" si="113"/>
        <v>7</v>
      </c>
      <c r="X29" s="20">
        <f t="shared" si="35"/>
        <v>12</v>
      </c>
      <c r="Z29" s="20">
        <f t="shared" si="36"/>
        <v>0</v>
      </c>
      <c r="AA29" s="10">
        <f t="shared" si="88"/>
        <v>95</v>
      </c>
      <c r="AB29" s="20">
        <f t="shared" si="37"/>
        <v>-30</v>
      </c>
      <c r="AC29" s="20"/>
      <c r="AD29" s="20"/>
      <c r="AE29" s="20"/>
      <c r="AF29" s="25">
        <f t="shared" si="4"/>
        <v>890</v>
      </c>
      <c r="AG29" s="25">
        <f t="shared" si="38"/>
        <v>65</v>
      </c>
      <c r="AH29" s="25">
        <f t="shared" si="5"/>
        <v>45</v>
      </c>
      <c r="AI29" s="25">
        <f t="shared" si="114"/>
        <v>1000</v>
      </c>
      <c r="AK29" s="25">
        <f t="shared" si="6"/>
        <v>14.467005076142133</v>
      </c>
      <c r="AL29" s="25">
        <f t="shared" si="7"/>
        <v>1.1116751269035532</v>
      </c>
      <c r="AM29" s="25">
        <f t="shared" si="8"/>
        <v>0</v>
      </c>
      <c r="AN29" s="26">
        <v>95</v>
      </c>
      <c r="AO29" s="25">
        <f t="shared" si="9"/>
        <v>964.46700507614219</v>
      </c>
      <c r="AP29" s="25">
        <f t="shared" si="10"/>
        <v>74.111675126903549</v>
      </c>
      <c r="AQ29" s="25">
        <f t="shared" si="11"/>
        <v>-42</v>
      </c>
      <c r="AR29" s="25">
        <f t="shared" si="12"/>
        <v>7</v>
      </c>
      <c r="AS29" s="25">
        <f t="shared" si="115"/>
        <v>1000</v>
      </c>
      <c r="AT29" s="20">
        <f t="shared" si="13"/>
        <v>12</v>
      </c>
      <c r="AU29" s="20">
        <f t="shared" si="14"/>
        <v>0</v>
      </c>
      <c r="AW29" s="20">
        <f t="shared" si="41"/>
        <v>3.6341116751269031</v>
      </c>
      <c r="AX29" s="20">
        <f t="shared" si="42"/>
        <v>0.27925279187817253</v>
      </c>
      <c r="AY29" s="111">
        <f t="shared" si="43"/>
        <v>0</v>
      </c>
      <c r="AZ29" s="20">
        <f t="shared" si="44"/>
        <v>5.2751999999999993E-2</v>
      </c>
      <c r="BA29" s="20">
        <f t="shared" si="45"/>
        <v>3.7679999999999998</v>
      </c>
      <c r="BB29" s="111">
        <f t="shared" si="46"/>
        <v>4.5215999999999999E-2</v>
      </c>
      <c r="BC29" s="111">
        <f t="shared" si="47"/>
        <v>0</v>
      </c>
      <c r="BE29" s="26"/>
      <c r="BF29" s="20">
        <f t="shared" si="48"/>
        <v>0</v>
      </c>
      <c r="BG29" s="20">
        <f t="shared" si="118"/>
        <v>0</v>
      </c>
      <c r="BH29" s="111">
        <f t="shared" si="50"/>
        <v>0</v>
      </c>
      <c r="BI29" s="20">
        <f t="shared" si="119"/>
        <v>0</v>
      </c>
      <c r="BJ29" s="20">
        <f t="shared" si="120"/>
        <v>0</v>
      </c>
      <c r="BK29" s="111">
        <f t="shared" si="51"/>
        <v>0</v>
      </c>
      <c r="BL29" s="111">
        <f t="shared" si="51"/>
        <v>0</v>
      </c>
      <c r="BO29" s="20">
        <f t="shared" si="52"/>
        <v>0</v>
      </c>
      <c r="BP29" s="20">
        <f t="shared" si="53"/>
        <v>0</v>
      </c>
      <c r="BQ29" s="111">
        <f t="shared" si="54"/>
        <v>0</v>
      </c>
      <c r="BR29" s="20">
        <f t="shared" si="55"/>
        <v>0</v>
      </c>
      <c r="BS29" s="20">
        <f t="shared" si="56"/>
        <v>0</v>
      </c>
      <c r="BT29" s="111">
        <f t="shared" si="57"/>
        <v>0</v>
      </c>
      <c r="BU29" s="111">
        <f t="shared" si="58"/>
        <v>0</v>
      </c>
      <c r="BW29" s="26"/>
      <c r="BX29" s="20">
        <f t="shared" si="59"/>
        <v>0</v>
      </c>
      <c r="BY29" s="20">
        <f t="shared" si="60"/>
        <v>0</v>
      </c>
      <c r="BZ29" s="111">
        <f t="shared" si="61"/>
        <v>0</v>
      </c>
      <c r="CA29" s="20">
        <f t="shared" si="62"/>
        <v>0</v>
      </c>
      <c r="CB29" s="20">
        <f t="shared" si="63"/>
        <v>0</v>
      </c>
      <c r="CC29" s="111">
        <f t="shared" si="64"/>
        <v>0</v>
      </c>
      <c r="CD29" s="111">
        <f t="shared" si="65"/>
        <v>0</v>
      </c>
      <c r="CG29" s="20">
        <f t="shared" si="17"/>
        <v>2.3725888324873097</v>
      </c>
      <c r="CH29" s="20">
        <f t="shared" si="66"/>
        <v>0.18602030456852792</v>
      </c>
      <c r="CI29" s="75">
        <f t="shared" si="67"/>
        <v>0</v>
      </c>
      <c r="CJ29" s="75">
        <f t="shared" si="68"/>
        <v>2.5549999999999997</v>
      </c>
      <c r="CK29" s="75">
        <f t="shared" si="69"/>
        <v>9.2880000000000003</v>
      </c>
      <c r="CL29" s="75">
        <f t="shared" si="70"/>
        <v>0</v>
      </c>
      <c r="CM29" s="36">
        <f t="shared" si="71"/>
        <v>14.401609137055837</v>
      </c>
      <c r="CO29" s="10">
        <f t="shared" si="89"/>
        <v>95</v>
      </c>
      <c r="CP29" s="104" t="s">
        <v>283</v>
      </c>
      <c r="CQ29" s="102">
        <f t="shared" si="18"/>
        <v>14.401609137055837</v>
      </c>
      <c r="CR29" s="102">
        <f t="shared" si="72"/>
        <v>4.0113324670050758</v>
      </c>
      <c r="CS29" s="102">
        <f t="shared" si="19"/>
        <v>5.6291274706523673</v>
      </c>
      <c r="CT29" s="102">
        <f t="shared" si="73"/>
        <v>3.7679999999999998</v>
      </c>
      <c r="CU29" s="36">
        <f t="shared" si="116"/>
        <v>27.810069074713279</v>
      </c>
      <c r="CV29" s="103">
        <f t="shared" si="20"/>
        <v>0.5147324871439598</v>
      </c>
      <c r="CW29" s="20">
        <f t="shared" si="21"/>
        <v>1.6277145018720658</v>
      </c>
      <c r="CY29" s="10">
        <f t="shared" si="91"/>
        <v>95</v>
      </c>
      <c r="CZ29" s="104" t="s">
        <v>283</v>
      </c>
      <c r="DA29" s="102">
        <f t="shared" si="75"/>
        <v>36.709701690355331</v>
      </c>
      <c r="DB29" s="102">
        <f t="shared" si="76"/>
        <v>10.224886458395938</v>
      </c>
      <c r="DC29" s="102">
        <f t="shared" si="77"/>
        <v>14.348645922692883</v>
      </c>
      <c r="DD29" s="102">
        <f t="shared" si="78"/>
        <v>9.6046319999999987</v>
      </c>
      <c r="DE29" s="36">
        <f t="shared" si="117"/>
        <v>70.887866071444151</v>
      </c>
      <c r="DF29" s="103">
        <f t="shared" si="22"/>
        <v>0.51473248714395992</v>
      </c>
      <c r="DG29" s="20"/>
    </row>
    <row r="30" spans="2:111" x14ac:dyDescent="0.25">
      <c r="B30" s="108" t="s">
        <v>371</v>
      </c>
      <c r="C30" s="126">
        <f>D84</f>
        <v>7.6760000000000005E-3</v>
      </c>
      <c r="D30" s="10" t="s">
        <v>21</v>
      </c>
      <c r="F30" s="105">
        <v>1</v>
      </c>
      <c r="G30" s="10">
        <f t="shared" si="102"/>
        <v>1000</v>
      </c>
      <c r="H30" s="20">
        <f t="shared" si="103"/>
        <v>1015.2284263959391</v>
      </c>
      <c r="I30" s="20">
        <f t="shared" si="104"/>
        <v>15.228426395939087</v>
      </c>
      <c r="J30" s="20">
        <f t="shared" si="105"/>
        <v>860</v>
      </c>
      <c r="K30" s="20">
        <f t="shared" si="106"/>
        <v>100</v>
      </c>
      <c r="L30" s="20">
        <f t="shared" si="107"/>
        <v>40</v>
      </c>
      <c r="M30" s="10">
        <f t="shared" si="83"/>
        <v>100</v>
      </c>
      <c r="N30" s="20">
        <f t="shared" si="108"/>
        <v>30</v>
      </c>
      <c r="O30" s="20">
        <f t="shared" si="109"/>
        <v>30.456852791878173</v>
      </c>
      <c r="P30" s="20">
        <f t="shared" si="110"/>
        <v>0.45685279187817257</v>
      </c>
      <c r="Q30" s="10">
        <f t="shared" si="84"/>
        <v>100</v>
      </c>
      <c r="R30" s="20">
        <f t="shared" si="31"/>
        <v>-47</v>
      </c>
      <c r="S30" s="20">
        <f t="shared" si="111"/>
        <v>-47</v>
      </c>
      <c r="T30" s="20">
        <f t="shared" si="112"/>
        <v>0</v>
      </c>
      <c r="U30" s="10">
        <f t="shared" si="87"/>
        <v>100</v>
      </c>
      <c r="V30" s="20">
        <f t="shared" si="113"/>
        <v>5</v>
      </c>
      <c r="X30" s="20">
        <f t="shared" si="35"/>
        <v>12</v>
      </c>
      <c r="Z30" s="20">
        <f t="shared" si="36"/>
        <v>0</v>
      </c>
      <c r="AA30" s="10">
        <f t="shared" si="88"/>
        <v>100</v>
      </c>
      <c r="AB30" s="20">
        <f t="shared" si="37"/>
        <v>-35</v>
      </c>
      <c r="AC30" s="20"/>
      <c r="AD30" s="20"/>
      <c r="AE30" s="20"/>
      <c r="AF30" s="25">
        <f t="shared" si="4"/>
        <v>890</v>
      </c>
      <c r="AG30" s="25">
        <f t="shared" si="38"/>
        <v>65</v>
      </c>
      <c r="AH30" s="25">
        <f t="shared" si="5"/>
        <v>45</v>
      </c>
      <c r="AI30" s="25">
        <f t="shared" si="114"/>
        <v>1000</v>
      </c>
      <c r="AK30" s="25">
        <f t="shared" si="6"/>
        <v>15.228426395939087</v>
      </c>
      <c r="AL30" s="25">
        <f t="shared" si="7"/>
        <v>0.45685279187817257</v>
      </c>
      <c r="AM30" s="25">
        <f t="shared" si="8"/>
        <v>0</v>
      </c>
      <c r="AN30" s="26">
        <v>100</v>
      </c>
      <c r="AO30" s="25">
        <f t="shared" si="9"/>
        <v>1015.2284263959391</v>
      </c>
      <c r="AP30" s="25">
        <f t="shared" si="10"/>
        <v>30.456852791878173</v>
      </c>
      <c r="AQ30" s="25">
        <f t="shared" si="11"/>
        <v>-47</v>
      </c>
      <c r="AR30" s="25">
        <f t="shared" si="12"/>
        <v>5</v>
      </c>
      <c r="AS30" s="25">
        <f t="shared" si="115"/>
        <v>1000</v>
      </c>
      <c r="AT30" s="20">
        <f t="shared" si="13"/>
        <v>12</v>
      </c>
      <c r="AU30" s="20">
        <f t="shared" si="14"/>
        <v>0</v>
      </c>
      <c r="AW30" s="20">
        <f t="shared" si="41"/>
        <v>3.825380710659898</v>
      </c>
      <c r="AX30" s="20">
        <f t="shared" si="42"/>
        <v>0.11476142131979697</v>
      </c>
      <c r="AY30" s="111">
        <f t="shared" si="43"/>
        <v>0</v>
      </c>
      <c r="AZ30" s="20">
        <f t="shared" si="44"/>
        <v>3.7679999999999998E-2</v>
      </c>
      <c r="BA30" s="20">
        <f t="shared" si="45"/>
        <v>3.7679999999999998</v>
      </c>
      <c r="BB30" s="111">
        <f t="shared" si="46"/>
        <v>4.5215999999999999E-2</v>
      </c>
      <c r="BC30" s="111">
        <f t="shared" si="47"/>
        <v>0</v>
      </c>
      <c r="BE30" s="26"/>
      <c r="BF30" s="20">
        <f t="shared" si="48"/>
        <v>0</v>
      </c>
      <c r="BG30" s="20">
        <f t="shared" si="118"/>
        <v>0</v>
      </c>
      <c r="BH30" s="111">
        <f t="shared" si="50"/>
        <v>0</v>
      </c>
      <c r="BI30" s="20">
        <f t="shared" si="119"/>
        <v>0</v>
      </c>
      <c r="BJ30" s="20">
        <f t="shared" si="120"/>
        <v>0</v>
      </c>
      <c r="BK30" s="111">
        <f t="shared" si="51"/>
        <v>0</v>
      </c>
      <c r="BL30" s="111">
        <f t="shared" si="51"/>
        <v>0</v>
      </c>
      <c r="BO30" s="20">
        <f t="shared" si="52"/>
        <v>0</v>
      </c>
      <c r="BP30" s="20">
        <f t="shared" si="53"/>
        <v>0</v>
      </c>
      <c r="BQ30" s="111">
        <f t="shared" si="54"/>
        <v>0</v>
      </c>
      <c r="BR30" s="20">
        <f t="shared" si="55"/>
        <v>0</v>
      </c>
      <c r="BS30" s="20">
        <f t="shared" si="56"/>
        <v>0</v>
      </c>
      <c r="BT30" s="111">
        <f t="shared" si="57"/>
        <v>0</v>
      </c>
      <c r="BU30" s="111">
        <f t="shared" si="58"/>
        <v>0</v>
      </c>
      <c r="BW30" s="26"/>
      <c r="BX30" s="20">
        <f t="shared" si="59"/>
        <v>0</v>
      </c>
      <c r="BY30" s="20">
        <f t="shared" si="60"/>
        <v>0</v>
      </c>
      <c r="BZ30" s="111">
        <f t="shared" si="61"/>
        <v>0</v>
      </c>
      <c r="CA30" s="20">
        <f t="shared" si="62"/>
        <v>0</v>
      </c>
      <c r="CB30" s="20">
        <f t="shared" si="63"/>
        <v>0</v>
      </c>
      <c r="CC30" s="111">
        <f t="shared" si="64"/>
        <v>0</v>
      </c>
      <c r="CD30" s="111">
        <f t="shared" si="65"/>
        <v>0</v>
      </c>
      <c r="CG30" s="20">
        <f t="shared" si="17"/>
        <v>2.4974619289340101</v>
      </c>
      <c r="CH30" s="20">
        <f t="shared" si="66"/>
        <v>7.6446700507614221E-2</v>
      </c>
      <c r="CI30" s="75">
        <f t="shared" si="67"/>
        <v>0</v>
      </c>
      <c r="CJ30" s="75">
        <f t="shared" si="68"/>
        <v>1.825</v>
      </c>
      <c r="CK30" s="75">
        <f>IF(X30&lt;0,0,X30*$C$24)</f>
        <v>9.2880000000000003</v>
      </c>
      <c r="CL30" s="75">
        <f t="shared" si="70"/>
        <v>0</v>
      </c>
      <c r="CM30" s="36">
        <f t="shared" si="71"/>
        <v>13.686908629441625</v>
      </c>
      <c r="CO30" s="10">
        <f t="shared" si="89"/>
        <v>100</v>
      </c>
      <c r="CP30" s="104" t="s">
        <v>284</v>
      </c>
      <c r="CQ30" s="102">
        <f t="shared" si="18"/>
        <v>13.686908629441625</v>
      </c>
      <c r="CR30" s="102">
        <f t="shared" si="72"/>
        <v>4.0230381319796953</v>
      </c>
      <c r="CS30" s="102">
        <f t="shared" si="19"/>
        <v>4.9705372599725388</v>
      </c>
      <c r="CT30" s="102">
        <f t="shared" si="73"/>
        <v>3.7679999999999998</v>
      </c>
      <c r="CU30" s="36">
        <f t="shared" si="116"/>
        <v>26.44848402139386</v>
      </c>
      <c r="CV30" s="103">
        <f t="shared" si="20"/>
        <v>0.48953110921604931</v>
      </c>
      <c r="CW30" s="20">
        <f t="shared" si="21"/>
        <v>1.4027824548695207</v>
      </c>
      <c r="CY30" s="10">
        <f t="shared" si="91"/>
        <v>100</v>
      </c>
      <c r="CZ30" s="104" t="s">
        <v>284</v>
      </c>
      <c r="DA30" s="102">
        <f t="shared" si="75"/>
        <v>34.887930096446702</v>
      </c>
      <c r="DB30" s="102">
        <f t="shared" si="76"/>
        <v>10.254724198416243</v>
      </c>
      <c r="DC30" s="102">
        <f t="shared" si="77"/>
        <v>12.66989947567</v>
      </c>
      <c r="DD30" s="102">
        <f t="shared" si="78"/>
        <v>9.6046319999999987</v>
      </c>
      <c r="DE30" s="36">
        <f t="shared" si="117"/>
        <v>67.417185770532939</v>
      </c>
      <c r="DF30" s="103">
        <f t="shared" si="22"/>
        <v>0.48953110921604925</v>
      </c>
      <c r="DG30" s="20"/>
    </row>
    <row r="31" spans="2:111" x14ac:dyDescent="0.25">
      <c r="C31" s="66"/>
    </row>
    <row r="32" spans="2:111" x14ac:dyDescent="0.25">
      <c r="B32" s="95" t="s">
        <v>332</v>
      </c>
      <c r="C32" s="126">
        <f>C28*0.26+C30*0.74</f>
        <v>1.4544011428571431E-2</v>
      </c>
      <c r="D32" s="10" t="s">
        <v>21</v>
      </c>
    </row>
    <row r="34" spans="2:55" ht="39.6" x14ac:dyDescent="0.25">
      <c r="G34" s="21" t="s">
        <v>72</v>
      </c>
      <c r="H34" s="21" t="s">
        <v>73</v>
      </c>
      <c r="I34" s="21" t="s">
        <v>74</v>
      </c>
      <c r="J34" s="21" t="s">
        <v>75</v>
      </c>
      <c r="K34" s="21" t="s">
        <v>81</v>
      </c>
      <c r="L34" s="21" t="s">
        <v>76</v>
      </c>
      <c r="T34" s="21" t="s">
        <v>85</v>
      </c>
      <c r="U34" s="21" t="s">
        <v>86</v>
      </c>
      <c r="V34" s="21" t="s">
        <v>87</v>
      </c>
      <c r="X34" s="21" t="s">
        <v>82</v>
      </c>
      <c r="Y34" s="21" t="s">
        <v>83</v>
      </c>
      <c r="Z34" s="21" t="s">
        <v>84</v>
      </c>
      <c r="AA34" s="9"/>
      <c r="AB34" s="21" t="s">
        <v>89</v>
      </c>
      <c r="AC34" s="9"/>
      <c r="AD34" s="9" t="s">
        <v>94</v>
      </c>
      <c r="AE34" s="9" t="s">
        <v>95</v>
      </c>
      <c r="AF34" s="9" t="s">
        <v>96</v>
      </c>
      <c r="AG34" s="9" t="s">
        <v>97</v>
      </c>
      <c r="AH34" s="9"/>
      <c r="AI34" s="9" t="s">
        <v>98</v>
      </c>
      <c r="AJ34" s="9" t="s">
        <v>99</v>
      </c>
      <c r="AK34" s="9" t="s">
        <v>100</v>
      </c>
      <c r="AL34" s="9"/>
      <c r="AM34" s="9" t="s">
        <v>103</v>
      </c>
      <c r="AN34" s="9" t="s">
        <v>101</v>
      </c>
      <c r="AO34" s="9" t="s">
        <v>102</v>
      </c>
      <c r="AP34" s="9" t="s">
        <v>104</v>
      </c>
    </row>
    <row r="35" spans="2:55" x14ac:dyDescent="0.25">
      <c r="C35" s="147" t="s">
        <v>466</v>
      </c>
      <c r="D35" s="28"/>
      <c r="G35" s="21"/>
      <c r="H35" s="21"/>
      <c r="I35" s="21"/>
      <c r="J35" s="21"/>
      <c r="K35" s="21"/>
      <c r="L35" s="21"/>
      <c r="T35" s="21"/>
      <c r="U35" s="21"/>
      <c r="V35" s="21"/>
      <c r="X35" s="21"/>
      <c r="Y35" s="21"/>
      <c r="Z35" s="21"/>
      <c r="AA35" s="9"/>
      <c r="AB35" s="21"/>
      <c r="AC35" s="9"/>
      <c r="AD35" s="9"/>
      <c r="AE35" s="9"/>
      <c r="AF35" s="9"/>
      <c r="AG35" s="9"/>
      <c r="AH35" s="9"/>
      <c r="AI35" s="9"/>
      <c r="AJ35" s="9"/>
      <c r="AK35" s="9"/>
      <c r="AL35" s="9"/>
      <c r="AM35" s="9"/>
      <c r="AN35" s="9"/>
      <c r="AO35" s="9"/>
      <c r="AP35" s="9"/>
    </row>
    <row r="36" spans="2:55" x14ac:dyDescent="0.25">
      <c r="C36" s="10">
        <f>VLOOKUP(Eingabemaske!G16,Q10:R30,2,FALSE)</f>
        <v>33</v>
      </c>
      <c r="D36" s="74" t="s">
        <v>285</v>
      </c>
      <c r="G36" s="28"/>
      <c r="H36" s="28"/>
      <c r="I36" s="28" t="s">
        <v>111</v>
      </c>
      <c r="J36" s="28"/>
      <c r="K36" s="28"/>
      <c r="L36" s="28"/>
      <c r="M36" s="28"/>
      <c r="U36" s="28"/>
      <c r="V36" s="28"/>
      <c r="W36" s="28"/>
      <c r="X36" s="28"/>
      <c r="Y36" s="28" t="s">
        <v>112</v>
      </c>
      <c r="Z36" s="28"/>
      <c r="AA36" s="28"/>
      <c r="AB36" s="28"/>
      <c r="AC36" s="28"/>
      <c r="AD36" s="28"/>
      <c r="AF36" s="31" t="s">
        <v>118</v>
      </c>
      <c r="AG36" s="28"/>
      <c r="AI36" s="28"/>
      <c r="AJ36" s="31" t="s">
        <v>123</v>
      </c>
      <c r="AK36" s="28"/>
      <c r="AL36" s="28"/>
      <c r="AN36" s="31" t="s">
        <v>132</v>
      </c>
      <c r="AO36" s="31"/>
      <c r="AP36" s="28"/>
      <c r="AU36" s="31" t="s">
        <v>131</v>
      </c>
      <c r="AV36" s="31"/>
      <c r="AW36" s="28"/>
      <c r="AY36" s="31" t="s">
        <v>133</v>
      </c>
      <c r="AZ36" s="28"/>
      <c r="BB36" s="31" t="s">
        <v>138</v>
      </c>
      <c r="BC36" s="28"/>
    </row>
    <row r="37" spans="2:55" x14ac:dyDescent="0.25">
      <c r="B37" s="20"/>
      <c r="C37" s="10">
        <f>VLOOKUP(Eingabemaske!G16,U10:V30,2,FALSE)</f>
        <v>37</v>
      </c>
      <c r="D37" s="109" t="s">
        <v>460</v>
      </c>
      <c r="AU37" s="8" t="s">
        <v>130</v>
      </c>
    </row>
    <row r="38" spans="2:55" x14ac:dyDescent="0.25">
      <c r="C38" s="10">
        <f>VLOOKUP(Eingabemaske!G16,M10:N30,2,FALSE)</f>
        <v>718</v>
      </c>
      <c r="D38" s="109" t="s">
        <v>461</v>
      </c>
      <c r="F38" s="12" t="s">
        <v>106</v>
      </c>
      <c r="G38" s="27">
        <f>Eingabemaske!G24</f>
        <v>15</v>
      </c>
      <c r="H38" s="10">
        <f>G38</f>
        <v>15</v>
      </c>
      <c r="I38" s="27">
        <f>Eingabemaske!C24</f>
        <v>15</v>
      </c>
      <c r="J38" s="10">
        <f>I38</f>
        <v>15</v>
      </c>
      <c r="K38" s="38">
        <f>Eingabemaske!D24</f>
        <v>15</v>
      </c>
      <c r="L38" s="10">
        <f>K38</f>
        <v>15</v>
      </c>
      <c r="M38" s="27">
        <f>Eingabemaske!B24</f>
        <v>160</v>
      </c>
      <c r="N38" s="109" t="s">
        <v>457</v>
      </c>
      <c r="AJ38" s="32"/>
      <c r="AK38" s="32"/>
      <c r="AL38" s="32"/>
      <c r="AU38" s="8"/>
    </row>
    <row r="39" spans="2:55" x14ac:dyDescent="0.25">
      <c r="F39" s="12" t="s">
        <v>107</v>
      </c>
      <c r="G39" s="27">
        <f>Eingabemaske!G28</f>
        <v>15</v>
      </c>
      <c r="H39" s="10">
        <v>100</v>
      </c>
      <c r="I39" s="27">
        <f>Eingabemaske!C28</f>
        <v>226</v>
      </c>
      <c r="J39" s="10">
        <v>100</v>
      </c>
      <c r="K39" s="38">
        <f>Eingabemaske!D28</f>
        <v>15</v>
      </c>
      <c r="L39" s="10">
        <v>100</v>
      </c>
      <c r="M39" s="27">
        <f>Eingabemaske!B28</f>
        <v>160</v>
      </c>
      <c r="N39" s="109" t="s">
        <v>456</v>
      </c>
      <c r="AJ39" s="33" t="s">
        <v>117</v>
      </c>
      <c r="AK39" s="33" t="s">
        <v>121</v>
      </c>
      <c r="AL39" s="33" t="s">
        <v>120</v>
      </c>
      <c r="AQ39" s="120" t="s">
        <v>452</v>
      </c>
      <c r="AU39" s="2"/>
    </row>
    <row r="40" spans="2:55" x14ac:dyDescent="0.25">
      <c r="C40" s="28" t="s">
        <v>24</v>
      </c>
      <c r="D40" s="28"/>
      <c r="F40" s="12" t="s">
        <v>108</v>
      </c>
      <c r="G40" s="10">
        <f t="shared" ref="G40:J40" si="121">IF(G39-G38&gt;0,G39-G38,0)</f>
        <v>0</v>
      </c>
      <c r="H40" s="10">
        <f t="shared" si="121"/>
        <v>85</v>
      </c>
      <c r="I40" s="10">
        <f t="shared" si="121"/>
        <v>211</v>
      </c>
      <c r="J40" s="10">
        <f t="shared" si="121"/>
        <v>85</v>
      </c>
      <c r="K40" s="10">
        <f>IF(K39-K38&gt;0,K39-K38,0)</f>
        <v>0</v>
      </c>
      <c r="L40" s="10">
        <f t="shared" ref="L40:M40" si="122">IF(L39-L38&gt;0,L39-L38,0)</f>
        <v>85</v>
      </c>
      <c r="M40" s="10">
        <f t="shared" si="122"/>
        <v>0</v>
      </c>
      <c r="AF40" s="30">
        <v>1</v>
      </c>
      <c r="AG40" s="93">
        <v>0.85</v>
      </c>
      <c r="AJ40" s="12">
        <v>10.8</v>
      </c>
      <c r="AK40" s="12">
        <v>10.6</v>
      </c>
      <c r="AL40" s="12">
        <v>8.6</v>
      </c>
      <c r="AN40" s="30">
        <v>1</v>
      </c>
      <c r="AO40" s="39">
        <v>0.9</v>
      </c>
      <c r="AP40" s="3" t="s">
        <v>128</v>
      </c>
      <c r="AQ40" s="12">
        <v>40</v>
      </c>
      <c r="AU40" s="2">
        <v>3</v>
      </c>
      <c r="AV40" s="94">
        <v>0.85</v>
      </c>
      <c r="AW40" s="3" t="s">
        <v>128</v>
      </c>
      <c r="AY40" s="32" t="s">
        <v>134</v>
      </c>
      <c r="AZ40" s="32" t="s">
        <v>135</v>
      </c>
    </row>
    <row r="41" spans="2:55" x14ac:dyDescent="0.25">
      <c r="B41" s="18" t="s">
        <v>25</v>
      </c>
      <c r="C41" s="10">
        <v>0.92</v>
      </c>
      <c r="D41" s="10" t="s">
        <v>26</v>
      </c>
      <c r="F41" s="12" t="s">
        <v>0</v>
      </c>
      <c r="G41" s="18" t="s">
        <v>0</v>
      </c>
      <c r="H41" s="18" t="s">
        <v>8</v>
      </c>
      <c r="I41" s="18" t="s">
        <v>2</v>
      </c>
      <c r="J41" s="18" t="s">
        <v>9</v>
      </c>
      <c r="K41" s="95" t="s">
        <v>324</v>
      </c>
      <c r="L41" s="95" t="s">
        <v>316</v>
      </c>
      <c r="M41" s="18" t="s">
        <v>5</v>
      </c>
      <c r="N41" s="60" t="s">
        <v>163</v>
      </c>
      <c r="U41" s="18" t="s">
        <v>0</v>
      </c>
      <c r="V41" s="18" t="s">
        <v>8</v>
      </c>
      <c r="W41" s="29" t="s">
        <v>113</v>
      </c>
      <c r="X41" s="18" t="s">
        <v>2</v>
      </c>
      <c r="Y41" s="18" t="s">
        <v>9</v>
      </c>
      <c r="Z41" s="29" t="s">
        <v>114</v>
      </c>
      <c r="AA41" s="95" t="s">
        <v>324</v>
      </c>
      <c r="AB41" s="18" t="s">
        <v>10</v>
      </c>
      <c r="AC41" s="29" t="s">
        <v>115</v>
      </c>
      <c r="AD41" s="29" t="s">
        <v>5</v>
      </c>
      <c r="AF41" s="18" t="s">
        <v>116</v>
      </c>
      <c r="AG41" s="29" t="s">
        <v>116</v>
      </c>
      <c r="AI41" s="29" t="s">
        <v>127</v>
      </c>
      <c r="AJ41" s="34" t="s">
        <v>55</v>
      </c>
      <c r="AK41" s="34" t="s">
        <v>126</v>
      </c>
      <c r="AL41" s="34" t="s">
        <v>56</v>
      </c>
      <c r="AN41" s="18" t="s">
        <v>5</v>
      </c>
      <c r="AO41" s="34" t="s">
        <v>5</v>
      </c>
      <c r="AP41" s="29" t="s">
        <v>127</v>
      </c>
      <c r="AQ41" s="29" t="s">
        <v>127</v>
      </c>
      <c r="AU41" s="34" t="s">
        <v>129</v>
      </c>
      <c r="AV41" s="34" t="s">
        <v>129</v>
      </c>
      <c r="AW41" s="29" t="s">
        <v>127</v>
      </c>
      <c r="AY41" s="34" t="s">
        <v>127</v>
      </c>
      <c r="AZ41" s="34" t="s">
        <v>127</v>
      </c>
      <c r="BB41" s="34" t="s">
        <v>134</v>
      </c>
      <c r="BC41" s="34" t="s">
        <v>135</v>
      </c>
    </row>
    <row r="42" spans="2:55" x14ac:dyDescent="0.25">
      <c r="B42" s="18" t="s">
        <v>27</v>
      </c>
      <c r="C42" s="10">
        <v>0.85</v>
      </c>
      <c r="D42" s="10" t="s">
        <v>26</v>
      </c>
      <c r="F42" s="12" t="s">
        <v>12</v>
      </c>
      <c r="G42" s="18" t="s">
        <v>13</v>
      </c>
      <c r="H42" s="18" t="s">
        <v>13</v>
      </c>
      <c r="I42" s="18" t="s">
        <v>13</v>
      </c>
      <c r="J42" s="18" t="s">
        <v>13</v>
      </c>
      <c r="K42" s="18" t="s">
        <v>13</v>
      </c>
      <c r="L42" s="18" t="s">
        <v>13</v>
      </c>
      <c r="M42" s="18" t="s">
        <v>13</v>
      </c>
      <c r="N42" s="60" t="s">
        <v>30</v>
      </c>
      <c r="U42" s="18" t="s">
        <v>14</v>
      </c>
      <c r="V42" s="18" t="s">
        <v>14</v>
      </c>
      <c r="W42" s="29" t="s">
        <v>14</v>
      </c>
      <c r="X42" s="18" t="s">
        <v>14</v>
      </c>
      <c r="Y42" s="18" t="s">
        <v>14</v>
      </c>
      <c r="Z42" s="29" t="s">
        <v>14</v>
      </c>
      <c r="AA42" s="18" t="s">
        <v>14</v>
      </c>
      <c r="AB42" s="18" t="s">
        <v>14</v>
      </c>
      <c r="AC42" s="29" t="s">
        <v>14</v>
      </c>
      <c r="AD42" s="29" t="s">
        <v>14</v>
      </c>
      <c r="AF42" s="18" t="s">
        <v>14</v>
      </c>
      <c r="AG42" s="29" t="s">
        <v>14</v>
      </c>
      <c r="AI42" s="29" t="s">
        <v>119</v>
      </c>
      <c r="AJ42" s="34" t="s">
        <v>124</v>
      </c>
      <c r="AK42" s="34" t="s">
        <v>125</v>
      </c>
      <c r="AL42" s="34" t="s">
        <v>13</v>
      </c>
      <c r="AN42" s="18" t="s">
        <v>14</v>
      </c>
      <c r="AO42" s="34" t="s">
        <v>14</v>
      </c>
      <c r="AP42" s="29" t="s">
        <v>119</v>
      </c>
      <c r="AQ42" s="29" t="s">
        <v>453</v>
      </c>
      <c r="AU42" s="18" t="s">
        <v>14</v>
      </c>
      <c r="AV42" s="34" t="s">
        <v>14</v>
      </c>
      <c r="AW42" s="29" t="s">
        <v>119</v>
      </c>
      <c r="AY42" s="34" t="s">
        <v>119</v>
      </c>
      <c r="AZ42" s="34" t="s">
        <v>119</v>
      </c>
      <c r="BB42" s="34" t="s">
        <v>136</v>
      </c>
      <c r="BC42" s="34" t="s">
        <v>136</v>
      </c>
    </row>
    <row r="43" spans="2:55" x14ac:dyDescent="0.25">
      <c r="B43" s="18" t="s">
        <v>28</v>
      </c>
      <c r="C43" s="10">
        <v>4.1829999999999998</v>
      </c>
      <c r="D43" s="10" t="s">
        <v>26</v>
      </c>
      <c r="E43" s="10">
        <v>0</v>
      </c>
      <c r="F43" s="11">
        <v>0</v>
      </c>
      <c r="G43" s="20">
        <f t="shared" ref="G43:G53" si="123">G10</f>
        <v>0</v>
      </c>
      <c r="H43" s="20">
        <f t="shared" ref="H43:H53" si="124">I10</f>
        <v>0</v>
      </c>
      <c r="I43" s="20">
        <f t="shared" ref="I43:I53" si="125">N10</f>
        <v>890</v>
      </c>
      <c r="J43" s="20">
        <f t="shared" ref="J43:J53" si="126">P10</f>
        <v>13.553299492385786</v>
      </c>
      <c r="K43" s="75">
        <f>IF(AB10&lt;0,0,AB10)</f>
        <v>65</v>
      </c>
      <c r="L43" s="20">
        <f t="shared" ref="L43:L53" si="127">T10</f>
        <v>0</v>
      </c>
      <c r="M43" s="111">
        <f>IF(V10&lt;0,0,V10)</f>
        <v>45</v>
      </c>
      <c r="N43" s="20">
        <f t="shared" ref="N43:N63" si="128">I43/1000*$I$39+K43/1000*$K$39+M43/1000*$M$39+G43/1000*$G$39</f>
        <v>209.315</v>
      </c>
      <c r="U43" s="26">
        <f t="shared" ref="U43:U63" si="129">G43*$C$41*$G$40</f>
        <v>0</v>
      </c>
      <c r="V43" s="26">
        <f t="shared" ref="V43:V63" si="130">H43*$C$43*$H$40+H43*$C$49</f>
        <v>0</v>
      </c>
      <c r="W43" s="106">
        <f>SUM(U43:V43)</f>
        <v>0</v>
      </c>
      <c r="X43" s="26">
        <f t="shared" ref="X43:X63" si="131">I43*$C$42*$I$40</f>
        <v>159621.5</v>
      </c>
      <c r="Y43" s="26">
        <f t="shared" ref="Y43:Y63" si="132">J43*$C$43*$J$40+J43*$C$49</f>
        <v>35408.740355329945</v>
      </c>
      <c r="Z43" s="106">
        <f>SUM(X43:Y43)</f>
        <v>195030.24035532994</v>
      </c>
      <c r="AA43" s="26">
        <f t="shared" ref="AA43:AA63" si="133">K43*$C$42*$K$40</f>
        <v>0</v>
      </c>
      <c r="AB43" s="26">
        <f t="shared" ref="AB43:AB63" si="134">L43*$C$43*$L$40+L43*$C$49</f>
        <v>0</v>
      </c>
      <c r="AC43" s="106">
        <f>SUM(AA43:AB43)</f>
        <v>0</v>
      </c>
      <c r="AD43" s="106">
        <f t="shared" ref="AD43:AD63" si="135">M43*$C$45*$M$40</f>
        <v>0</v>
      </c>
      <c r="AF43" s="26">
        <f>W43+Z43+AC43</f>
        <v>195030.24035532994</v>
      </c>
      <c r="AG43" s="106">
        <f t="shared" ref="AG43:AG63" si="136">AF43/$AG$40</f>
        <v>229447.34159450582</v>
      </c>
      <c r="AI43" s="36">
        <f t="shared" ref="AI43:AI53" si="137">AG43/3600</f>
        <v>63.73537266514051</v>
      </c>
      <c r="AJ43" s="20">
        <f t="shared" ref="AJ43:AJ63" si="138">AI43/$AJ$40</f>
        <v>5.9014233949204176</v>
      </c>
      <c r="AK43" s="20">
        <f t="shared" ref="AK43:AK63" si="139">AI43/$AK$40</f>
        <v>6.0127710061453312</v>
      </c>
      <c r="AL43" s="20">
        <f t="shared" ref="AL43:AL63" si="140">AI43/$AL$40</f>
        <v>7.4110898447837803</v>
      </c>
      <c r="AN43" s="26">
        <f>AD43</f>
        <v>0</v>
      </c>
      <c r="AO43" s="107">
        <f t="shared" ref="AO43:AO63" si="141">AN43/$AO$40</f>
        <v>0</v>
      </c>
      <c r="AP43" s="36">
        <f t="shared" ref="AP43:AP53" si="142">AN43/3600</f>
        <v>0</v>
      </c>
      <c r="AQ43" s="111">
        <f>$AQ$40/1000*M43</f>
        <v>1.8</v>
      </c>
      <c r="AU43" s="26">
        <f>AU40*3600</f>
        <v>10800</v>
      </c>
      <c r="AV43" s="107">
        <f t="shared" ref="AV43:AV63" si="143">AU43/$AV$40</f>
        <v>12705.882352941177</v>
      </c>
      <c r="AW43" s="36">
        <f>AV43/3600</f>
        <v>3.5294117647058822</v>
      </c>
      <c r="AY43" s="20">
        <f t="shared" ref="AY43:AY63" si="144">AI43</f>
        <v>63.73537266514051</v>
      </c>
      <c r="AZ43" s="20">
        <f>AQ43+AW43</f>
        <v>5.3294117647058821</v>
      </c>
      <c r="BB43" s="20">
        <f>AY43*$C$20</f>
        <v>17.081079874257657</v>
      </c>
      <c r="BC43" s="20">
        <f>AZ43*$C$9</f>
        <v>1.0765411764705883</v>
      </c>
    </row>
    <row r="44" spans="2:55" x14ac:dyDescent="0.25">
      <c r="B44" s="18"/>
      <c r="E44" s="10">
        <v>5</v>
      </c>
      <c r="F44" s="11">
        <v>0.05</v>
      </c>
      <c r="G44" s="20">
        <f t="shared" si="123"/>
        <v>50</v>
      </c>
      <c r="H44" s="20">
        <f t="shared" si="124"/>
        <v>0.76142131979695427</v>
      </c>
      <c r="I44" s="20">
        <f t="shared" si="125"/>
        <v>847</v>
      </c>
      <c r="J44" s="20">
        <f t="shared" si="126"/>
        <v>12.898477157360405</v>
      </c>
      <c r="K44" s="75">
        <f t="shared" ref="K44:K63" si="145">IF(AB11&lt;0,0,AB11)</f>
        <v>60</v>
      </c>
      <c r="L44" s="20">
        <f t="shared" si="127"/>
        <v>0</v>
      </c>
      <c r="M44" s="111">
        <f t="shared" ref="M44:M63" si="146">IF(V11&lt;0,0,V11)</f>
        <v>43</v>
      </c>
      <c r="N44" s="20">
        <f t="shared" si="128"/>
        <v>199.952</v>
      </c>
      <c r="U44" s="26">
        <f t="shared" si="129"/>
        <v>0</v>
      </c>
      <c r="V44" s="26">
        <f t="shared" si="130"/>
        <v>1989.2550761421317</v>
      </c>
      <c r="W44" s="106">
        <f t="shared" ref="W44" si="147">SUM(U44:V44)</f>
        <v>1989.2550761421317</v>
      </c>
      <c r="X44" s="26">
        <f t="shared" si="131"/>
        <v>151909.44999999998</v>
      </c>
      <c r="Y44" s="26">
        <f t="shared" si="132"/>
        <v>33697.980989847711</v>
      </c>
      <c r="Z44" s="106">
        <f t="shared" ref="Z44" si="148">SUM(X44:Y44)</f>
        <v>185607.43098984769</v>
      </c>
      <c r="AA44" s="26">
        <f t="shared" si="133"/>
        <v>0</v>
      </c>
      <c r="AB44" s="26">
        <f t="shared" si="134"/>
        <v>0</v>
      </c>
      <c r="AC44" s="106">
        <f t="shared" ref="AC44" si="149">SUM(AA44:AB44)</f>
        <v>0</v>
      </c>
      <c r="AD44" s="106">
        <f t="shared" si="135"/>
        <v>0</v>
      </c>
      <c r="AF44" s="26">
        <f t="shared" ref="AF44" si="150">W44+Z44+AC44</f>
        <v>187596.68606598984</v>
      </c>
      <c r="AG44" s="106">
        <f t="shared" si="136"/>
        <v>220701.98360704686</v>
      </c>
      <c r="AI44" s="36">
        <f t="shared" ref="AI44" si="151">AG44/3600</f>
        <v>61.306106557513019</v>
      </c>
      <c r="AJ44" s="20">
        <f t="shared" si="138"/>
        <v>5.6764913479178718</v>
      </c>
      <c r="AK44" s="20">
        <f t="shared" si="139"/>
        <v>5.7835949582559456</v>
      </c>
      <c r="AL44" s="20">
        <f t="shared" si="140"/>
        <v>7.1286170415712817</v>
      </c>
      <c r="AN44" s="26">
        <f t="shared" ref="AN44" si="152">AD44</f>
        <v>0</v>
      </c>
      <c r="AO44" s="107">
        <f t="shared" si="141"/>
        <v>0</v>
      </c>
      <c r="AP44" s="36">
        <f t="shared" ref="AP44" si="153">AN44/3600</f>
        <v>0</v>
      </c>
      <c r="AQ44" s="111">
        <f t="shared" ref="AQ44:AQ63" si="154">$AQ$40/1000*M44</f>
        <v>1.72</v>
      </c>
      <c r="AU44" s="26">
        <f>AU43*1.01</f>
        <v>10908</v>
      </c>
      <c r="AV44" s="107">
        <f t="shared" si="143"/>
        <v>12832.941176470589</v>
      </c>
      <c r="AW44" s="36">
        <f t="shared" ref="AW44:AW53" si="155">AV44/3600</f>
        <v>3.5647058823529414</v>
      </c>
      <c r="AY44" s="20">
        <f t="shared" si="144"/>
        <v>61.306106557513019</v>
      </c>
      <c r="AZ44" s="20">
        <f t="shared" ref="AZ44:AZ62" si="156">AQ44+AW44</f>
        <v>5.2847058823529416</v>
      </c>
      <c r="BB44" s="20">
        <f t="shared" ref="BB44" si="157">AY44*$C$20</f>
        <v>16.430036557413491</v>
      </c>
      <c r="BC44" s="20">
        <f t="shared" ref="BC44" si="158">AZ44*$C$9</f>
        <v>1.0675105882352942</v>
      </c>
    </row>
    <row r="45" spans="2:55" x14ac:dyDescent="0.25">
      <c r="B45" s="18" t="s">
        <v>29</v>
      </c>
      <c r="C45" s="10">
        <v>1.7</v>
      </c>
      <c r="D45" s="10" t="s">
        <v>26</v>
      </c>
      <c r="E45" s="10">
        <v>10</v>
      </c>
      <c r="F45" s="11">
        <v>0.1</v>
      </c>
      <c r="G45" s="20">
        <f t="shared" si="123"/>
        <v>100</v>
      </c>
      <c r="H45" s="20">
        <f t="shared" si="124"/>
        <v>1.5228426395939085</v>
      </c>
      <c r="I45" s="20">
        <f t="shared" si="125"/>
        <v>804</v>
      </c>
      <c r="J45" s="20">
        <f t="shared" si="126"/>
        <v>12.243654822335026</v>
      </c>
      <c r="K45" s="75">
        <f t="shared" si="145"/>
        <v>55</v>
      </c>
      <c r="L45" s="20">
        <f t="shared" si="127"/>
        <v>0</v>
      </c>
      <c r="M45" s="111">
        <f t="shared" si="146"/>
        <v>41</v>
      </c>
      <c r="N45" s="20">
        <f t="shared" si="128"/>
        <v>190.589</v>
      </c>
      <c r="U45" s="26">
        <f t="shared" si="129"/>
        <v>0</v>
      </c>
      <c r="V45" s="26">
        <f t="shared" si="130"/>
        <v>3978.5101522842633</v>
      </c>
      <c r="W45" s="106">
        <f t="shared" ref="W45:W53" si="159">SUM(U45:V45)</f>
        <v>3978.5101522842633</v>
      </c>
      <c r="X45" s="26">
        <f t="shared" si="131"/>
        <v>144197.4</v>
      </c>
      <c r="Y45" s="26">
        <f t="shared" si="132"/>
        <v>31987.221624365484</v>
      </c>
      <c r="Z45" s="106">
        <f t="shared" ref="Z45:Z53" si="160">SUM(X45:Y45)</f>
        <v>176184.62162436548</v>
      </c>
      <c r="AA45" s="26">
        <f t="shared" si="133"/>
        <v>0</v>
      </c>
      <c r="AB45" s="26">
        <f t="shared" si="134"/>
        <v>0</v>
      </c>
      <c r="AC45" s="106">
        <f t="shared" ref="AC45:AC53" si="161">SUM(AA45:AB45)</f>
        <v>0</v>
      </c>
      <c r="AD45" s="106">
        <f t="shared" si="135"/>
        <v>0</v>
      </c>
      <c r="AF45" s="26">
        <f t="shared" ref="AF45:AF53" si="162">W45+Z45+AC45</f>
        <v>180163.13177664974</v>
      </c>
      <c r="AG45" s="106">
        <f t="shared" si="136"/>
        <v>211956.62561958793</v>
      </c>
      <c r="AI45" s="36">
        <f t="shared" si="137"/>
        <v>58.876840449885535</v>
      </c>
      <c r="AJ45" s="20">
        <f t="shared" si="138"/>
        <v>5.4515593009153269</v>
      </c>
      <c r="AK45" s="20">
        <f t="shared" si="139"/>
        <v>5.55441891036656</v>
      </c>
      <c r="AL45" s="20">
        <f t="shared" si="140"/>
        <v>6.8461442383587832</v>
      </c>
      <c r="AN45" s="26">
        <f t="shared" ref="AN45:AN53" si="163">AD45</f>
        <v>0</v>
      </c>
      <c r="AO45" s="107">
        <f t="shared" si="141"/>
        <v>0</v>
      </c>
      <c r="AP45" s="36">
        <f t="shared" si="142"/>
        <v>0</v>
      </c>
      <c r="AQ45" s="111">
        <f t="shared" si="154"/>
        <v>1.6400000000000001</v>
      </c>
      <c r="AU45" s="26">
        <f t="shared" ref="AU45:AU63" si="164">AU44*1.01</f>
        <v>11017.08</v>
      </c>
      <c r="AV45" s="107">
        <f t="shared" si="143"/>
        <v>12961.270588235295</v>
      </c>
      <c r="AW45" s="36">
        <f t="shared" si="155"/>
        <v>3.600352941176471</v>
      </c>
      <c r="AY45" s="20">
        <f t="shared" si="144"/>
        <v>58.876840449885535</v>
      </c>
      <c r="AZ45" s="20">
        <f t="shared" si="156"/>
        <v>5.2403529411764715</v>
      </c>
      <c r="BB45" s="20">
        <f t="shared" ref="BB45:BB53" si="165">AY45*$C$20</f>
        <v>15.778993240569324</v>
      </c>
      <c r="BC45" s="20">
        <f t="shared" ref="BC45:BC53" si="166">AZ45*$C$9</f>
        <v>1.0585512941176474</v>
      </c>
    </row>
    <row r="46" spans="2:55" x14ac:dyDescent="0.25">
      <c r="B46" s="18"/>
      <c r="E46" s="10">
        <v>15</v>
      </c>
      <c r="F46" s="11">
        <v>0.15</v>
      </c>
      <c r="G46" s="20">
        <f t="shared" si="123"/>
        <v>150</v>
      </c>
      <c r="H46" s="20">
        <f t="shared" si="124"/>
        <v>2.2842639593908629</v>
      </c>
      <c r="I46" s="20">
        <f t="shared" si="125"/>
        <v>761</v>
      </c>
      <c r="J46" s="20">
        <f t="shared" si="126"/>
        <v>11.588832487309645</v>
      </c>
      <c r="K46" s="75">
        <f t="shared" si="145"/>
        <v>50</v>
      </c>
      <c r="L46" s="20">
        <f t="shared" si="127"/>
        <v>0</v>
      </c>
      <c r="M46" s="111">
        <f t="shared" si="146"/>
        <v>39</v>
      </c>
      <c r="N46" s="20">
        <f t="shared" si="128"/>
        <v>181.226</v>
      </c>
      <c r="U46" s="26">
        <f t="shared" si="129"/>
        <v>0</v>
      </c>
      <c r="V46" s="26">
        <f t="shared" si="130"/>
        <v>5967.7652284263959</v>
      </c>
      <c r="W46" s="106">
        <f t="shared" ref="W46:W52" si="167">SUM(U46:V46)</f>
        <v>5967.7652284263959</v>
      </c>
      <c r="X46" s="26">
        <f t="shared" si="131"/>
        <v>136485.35</v>
      </c>
      <c r="Y46" s="26">
        <f t="shared" si="132"/>
        <v>30276.46225888325</v>
      </c>
      <c r="Z46" s="106">
        <f t="shared" ref="Z46:Z52" si="168">SUM(X46:Y46)</f>
        <v>166761.81225888326</v>
      </c>
      <c r="AA46" s="26">
        <f t="shared" si="133"/>
        <v>0</v>
      </c>
      <c r="AB46" s="26">
        <f t="shared" si="134"/>
        <v>0</v>
      </c>
      <c r="AC46" s="106">
        <f t="shared" ref="AC46:AC52" si="169">SUM(AA46:AB46)</f>
        <v>0</v>
      </c>
      <c r="AD46" s="106">
        <f t="shared" si="135"/>
        <v>0</v>
      </c>
      <c r="AF46" s="26">
        <f t="shared" ref="AF46:AF52" si="170">W46+Z46+AC46</f>
        <v>172729.57748730967</v>
      </c>
      <c r="AG46" s="106">
        <f t="shared" si="136"/>
        <v>203211.26763212902</v>
      </c>
      <c r="AI46" s="36">
        <f t="shared" ref="AI46:AI52" si="171">AG46/3600</f>
        <v>56.447574342258058</v>
      </c>
      <c r="AJ46" s="20">
        <f t="shared" si="138"/>
        <v>5.2266272539127829</v>
      </c>
      <c r="AK46" s="20">
        <f t="shared" si="139"/>
        <v>5.3252428624771753</v>
      </c>
      <c r="AL46" s="20">
        <f t="shared" si="140"/>
        <v>6.5636714351462864</v>
      </c>
      <c r="AN46" s="26">
        <f t="shared" ref="AN46:AN52" si="172">AD46</f>
        <v>0</v>
      </c>
      <c r="AO46" s="107">
        <f t="shared" si="141"/>
        <v>0</v>
      </c>
      <c r="AP46" s="36">
        <f t="shared" ref="AP46:AP52" si="173">AN46/3600</f>
        <v>0</v>
      </c>
      <c r="AQ46" s="111">
        <f t="shared" si="154"/>
        <v>1.56</v>
      </c>
      <c r="AU46" s="26">
        <f t="shared" si="164"/>
        <v>11127.2508</v>
      </c>
      <c r="AV46" s="107">
        <f t="shared" si="143"/>
        <v>13090.883294117648</v>
      </c>
      <c r="AW46" s="36">
        <f t="shared" si="155"/>
        <v>3.6363564705882356</v>
      </c>
      <c r="AY46" s="20">
        <f t="shared" si="144"/>
        <v>56.447574342258058</v>
      </c>
      <c r="AZ46" s="20">
        <f t="shared" si="156"/>
        <v>5.1963564705882357</v>
      </c>
      <c r="BB46" s="20">
        <f t="shared" ref="BB46:BB52" si="174">AY46*$C$20</f>
        <v>15.12794992372516</v>
      </c>
      <c r="BC46" s="20">
        <f t="shared" ref="BC46:BC52" si="175">AZ46*$C$9</f>
        <v>1.0496640070588237</v>
      </c>
    </row>
    <row r="47" spans="2:55" x14ac:dyDescent="0.25">
      <c r="E47" s="10">
        <v>20</v>
      </c>
      <c r="F47" s="11">
        <v>0.2</v>
      </c>
      <c r="G47" s="20">
        <f t="shared" si="123"/>
        <v>200</v>
      </c>
      <c r="H47" s="20">
        <f t="shared" si="124"/>
        <v>3.0456852791878171</v>
      </c>
      <c r="I47" s="20">
        <f t="shared" si="125"/>
        <v>718</v>
      </c>
      <c r="J47" s="20">
        <f t="shared" si="126"/>
        <v>10.934010152284264</v>
      </c>
      <c r="K47" s="75">
        <f t="shared" si="145"/>
        <v>45</v>
      </c>
      <c r="L47" s="20">
        <f t="shared" si="127"/>
        <v>0</v>
      </c>
      <c r="M47" s="111">
        <f t="shared" si="146"/>
        <v>37</v>
      </c>
      <c r="N47" s="20">
        <f t="shared" si="128"/>
        <v>171.863</v>
      </c>
      <c r="U47" s="26">
        <f t="shared" si="129"/>
        <v>0</v>
      </c>
      <c r="V47" s="26">
        <f t="shared" si="130"/>
        <v>7957.0203045685266</v>
      </c>
      <c r="W47" s="106">
        <f t="shared" si="167"/>
        <v>7957.0203045685266</v>
      </c>
      <c r="X47" s="26">
        <f t="shared" si="131"/>
        <v>128773.29999999999</v>
      </c>
      <c r="Y47" s="26">
        <f t="shared" si="132"/>
        <v>28565.702893401016</v>
      </c>
      <c r="Z47" s="106">
        <f t="shared" si="168"/>
        <v>157339.00289340102</v>
      </c>
      <c r="AA47" s="26">
        <f t="shared" si="133"/>
        <v>0</v>
      </c>
      <c r="AB47" s="26">
        <f t="shared" si="134"/>
        <v>0</v>
      </c>
      <c r="AC47" s="106">
        <f t="shared" si="169"/>
        <v>0</v>
      </c>
      <c r="AD47" s="106">
        <f t="shared" si="135"/>
        <v>0</v>
      </c>
      <c r="AF47" s="26">
        <f t="shared" si="170"/>
        <v>165296.02319796954</v>
      </c>
      <c r="AG47" s="106">
        <f t="shared" si="136"/>
        <v>194465.90964467006</v>
      </c>
      <c r="AI47" s="36">
        <f t="shared" si="171"/>
        <v>54.018308234630574</v>
      </c>
      <c r="AJ47" s="20">
        <f t="shared" si="138"/>
        <v>5.0016952069102381</v>
      </c>
      <c r="AK47" s="20">
        <f t="shared" si="139"/>
        <v>5.0960668145877905</v>
      </c>
      <c r="AL47" s="20">
        <f t="shared" si="140"/>
        <v>6.2811986319337878</v>
      </c>
      <c r="AN47" s="26">
        <f t="shared" si="172"/>
        <v>0</v>
      </c>
      <c r="AO47" s="107">
        <f t="shared" si="141"/>
        <v>0</v>
      </c>
      <c r="AP47" s="36">
        <f t="shared" si="173"/>
        <v>0</v>
      </c>
      <c r="AQ47" s="111">
        <f t="shared" si="154"/>
        <v>1.48</v>
      </c>
      <c r="AU47" s="26">
        <f t="shared" si="164"/>
        <v>11238.523308</v>
      </c>
      <c r="AV47" s="107">
        <f t="shared" si="143"/>
        <v>13221.792127058823</v>
      </c>
      <c r="AW47" s="36">
        <f t="shared" si="155"/>
        <v>3.6727200352941174</v>
      </c>
      <c r="AY47" s="20">
        <f t="shared" si="144"/>
        <v>54.018308234630574</v>
      </c>
      <c r="AZ47" s="20">
        <f t="shared" si="156"/>
        <v>5.1527200352941174</v>
      </c>
      <c r="BB47" s="20">
        <f t="shared" si="174"/>
        <v>14.476906606880995</v>
      </c>
      <c r="BC47" s="20">
        <f t="shared" si="175"/>
        <v>1.0408494471294119</v>
      </c>
    </row>
    <row r="48" spans="2:55" x14ac:dyDescent="0.25">
      <c r="E48" s="10">
        <v>25</v>
      </c>
      <c r="F48" s="11">
        <v>0.25</v>
      </c>
      <c r="G48" s="20">
        <f t="shared" si="123"/>
        <v>250</v>
      </c>
      <c r="H48" s="20">
        <f t="shared" si="124"/>
        <v>3.8071065989847717</v>
      </c>
      <c r="I48" s="20">
        <f t="shared" si="125"/>
        <v>675</v>
      </c>
      <c r="J48" s="20">
        <f t="shared" si="126"/>
        <v>10.279187817258883</v>
      </c>
      <c r="K48" s="75">
        <f t="shared" si="145"/>
        <v>40</v>
      </c>
      <c r="L48" s="20">
        <f t="shared" si="127"/>
        <v>0</v>
      </c>
      <c r="M48" s="111">
        <f t="shared" si="146"/>
        <v>35</v>
      </c>
      <c r="N48" s="20">
        <f t="shared" si="128"/>
        <v>162.5</v>
      </c>
      <c r="U48" s="26">
        <f t="shared" si="129"/>
        <v>0</v>
      </c>
      <c r="V48" s="26">
        <f t="shared" si="130"/>
        <v>9946.2753807106601</v>
      </c>
      <c r="W48" s="106">
        <f t="shared" si="167"/>
        <v>9946.2753807106601</v>
      </c>
      <c r="X48" s="26">
        <f t="shared" si="131"/>
        <v>121061.25</v>
      </c>
      <c r="Y48" s="26">
        <f t="shared" si="132"/>
        <v>26854.943527918782</v>
      </c>
      <c r="Z48" s="106">
        <f t="shared" si="168"/>
        <v>147916.19352791877</v>
      </c>
      <c r="AA48" s="26">
        <f t="shared" si="133"/>
        <v>0</v>
      </c>
      <c r="AB48" s="26">
        <f t="shared" si="134"/>
        <v>0</v>
      </c>
      <c r="AC48" s="106">
        <f t="shared" si="169"/>
        <v>0</v>
      </c>
      <c r="AD48" s="106">
        <f t="shared" si="135"/>
        <v>0</v>
      </c>
      <c r="AF48" s="26">
        <f t="shared" si="170"/>
        <v>157862.46890862944</v>
      </c>
      <c r="AG48" s="106">
        <f t="shared" si="136"/>
        <v>185720.55165721112</v>
      </c>
      <c r="AI48" s="36">
        <f t="shared" si="171"/>
        <v>51.58904212700309</v>
      </c>
      <c r="AJ48" s="20">
        <f t="shared" si="138"/>
        <v>4.7767631599076932</v>
      </c>
      <c r="AK48" s="20">
        <f t="shared" si="139"/>
        <v>4.8668907666984049</v>
      </c>
      <c r="AL48" s="20">
        <f t="shared" si="140"/>
        <v>5.9987258287212901</v>
      </c>
      <c r="AN48" s="26">
        <f t="shared" si="172"/>
        <v>0</v>
      </c>
      <c r="AO48" s="107">
        <f t="shared" si="141"/>
        <v>0</v>
      </c>
      <c r="AP48" s="36">
        <f t="shared" si="173"/>
        <v>0</v>
      </c>
      <c r="AQ48" s="111">
        <f t="shared" si="154"/>
        <v>1.4000000000000001</v>
      </c>
      <c r="AU48" s="26">
        <f t="shared" si="164"/>
        <v>11350.90854108</v>
      </c>
      <c r="AV48" s="107">
        <f t="shared" si="143"/>
        <v>13354.010048329412</v>
      </c>
      <c r="AW48" s="36">
        <f t="shared" si="155"/>
        <v>3.7094472356470587</v>
      </c>
      <c r="AY48" s="20">
        <f t="shared" si="144"/>
        <v>51.58904212700309</v>
      </c>
      <c r="AZ48" s="20">
        <f t="shared" si="156"/>
        <v>5.1094472356470586</v>
      </c>
      <c r="BB48" s="20">
        <f t="shared" si="174"/>
        <v>13.825863290036828</v>
      </c>
      <c r="BC48" s="20">
        <f t="shared" si="175"/>
        <v>1.032108341600706</v>
      </c>
    </row>
    <row r="49" spans="2:55" x14ac:dyDescent="0.25">
      <c r="B49" s="18" t="s">
        <v>109</v>
      </c>
      <c r="C49" s="10">
        <v>2257</v>
      </c>
      <c r="D49" s="10" t="s">
        <v>70</v>
      </c>
      <c r="E49" s="10">
        <v>30</v>
      </c>
      <c r="F49" s="11">
        <v>0.3</v>
      </c>
      <c r="G49" s="20">
        <f t="shared" si="123"/>
        <v>300</v>
      </c>
      <c r="H49" s="20">
        <f t="shared" si="124"/>
        <v>4.5685279187817258</v>
      </c>
      <c r="I49" s="20">
        <f t="shared" si="125"/>
        <v>632</v>
      </c>
      <c r="J49" s="20">
        <f t="shared" si="126"/>
        <v>9.6243654822335021</v>
      </c>
      <c r="K49" s="75">
        <f t="shared" si="145"/>
        <v>35</v>
      </c>
      <c r="L49" s="20">
        <f t="shared" si="127"/>
        <v>0</v>
      </c>
      <c r="M49" s="111">
        <f t="shared" si="146"/>
        <v>33</v>
      </c>
      <c r="N49" s="20">
        <f t="shared" si="128"/>
        <v>153.137</v>
      </c>
      <c r="U49" s="26">
        <f t="shared" si="129"/>
        <v>0</v>
      </c>
      <c r="V49" s="26">
        <f t="shared" si="130"/>
        <v>11935.530456852792</v>
      </c>
      <c r="W49" s="106">
        <f t="shared" si="167"/>
        <v>11935.530456852792</v>
      </c>
      <c r="X49" s="26">
        <f t="shared" si="131"/>
        <v>113349.19999999998</v>
      </c>
      <c r="Y49" s="26">
        <f t="shared" si="132"/>
        <v>25144.184162436548</v>
      </c>
      <c r="Z49" s="106">
        <f t="shared" si="168"/>
        <v>138493.38416243653</v>
      </c>
      <c r="AA49" s="26">
        <f t="shared" si="133"/>
        <v>0</v>
      </c>
      <c r="AB49" s="26">
        <f t="shared" si="134"/>
        <v>0</v>
      </c>
      <c r="AC49" s="106">
        <f t="shared" si="169"/>
        <v>0</v>
      </c>
      <c r="AD49" s="106">
        <f t="shared" si="135"/>
        <v>0</v>
      </c>
      <c r="AF49" s="26">
        <f t="shared" si="170"/>
        <v>150428.91461928931</v>
      </c>
      <c r="AG49" s="106">
        <f t="shared" si="136"/>
        <v>176975.19366975213</v>
      </c>
      <c r="AI49" s="36">
        <f t="shared" si="171"/>
        <v>49.159776019375592</v>
      </c>
      <c r="AJ49" s="20">
        <f t="shared" si="138"/>
        <v>4.5518311129051474</v>
      </c>
      <c r="AK49" s="20">
        <f t="shared" si="139"/>
        <v>4.6377147188090184</v>
      </c>
      <c r="AL49" s="20">
        <f t="shared" si="140"/>
        <v>5.7162530255087898</v>
      </c>
      <c r="AN49" s="26">
        <f t="shared" si="172"/>
        <v>0</v>
      </c>
      <c r="AO49" s="107">
        <f t="shared" si="141"/>
        <v>0</v>
      </c>
      <c r="AP49" s="36">
        <f t="shared" si="173"/>
        <v>0</v>
      </c>
      <c r="AQ49" s="111">
        <f t="shared" si="154"/>
        <v>1.32</v>
      </c>
      <c r="AU49" s="26">
        <f t="shared" si="164"/>
        <v>11464.4176264908</v>
      </c>
      <c r="AV49" s="107">
        <f t="shared" si="143"/>
        <v>13487.550148812707</v>
      </c>
      <c r="AW49" s="36">
        <f t="shared" si="155"/>
        <v>3.7465417080035297</v>
      </c>
      <c r="AY49" s="20">
        <f t="shared" si="144"/>
        <v>49.159776019375592</v>
      </c>
      <c r="AZ49" s="20">
        <f t="shared" si="156"/>
        <v>5.0665417080035295</v>
      </c>
      <c r="BB49" s="20">
        <f t="shared" si="174"/>
        <v>13.17481997319266</v>
      </c>
      <c r="BC49" s="20">
        <f t="shared" si="175"/>
        <v>1.023441425016713</v>
      </c>
    </row>
    <row r="50" spans="2:55" x14ac:dyDescent="0.25">
      <c r="B50" s="18"/>
      <c r="E50" s="10">
        <v>35</v>
      </c>
      <c r="F50" s="11">
        <v>0.35</v>
      </c>
      <c r="G50" s="20">
        <f t="shared" si="123"/>
        <v>350</v>
      </c>
      <c r="H50" s="20">
        <f t="shared" si="124"/>
        <v>5.3299492385786804</v>
      </c>
      <c r="I50" s="20">
        <f t="shared" si="125"/>
        <v>589</v>
      </c>
      <c r="J50" s="20">
        <f t="shared" si="126"/>
        <v>8.9695431472081211</v>
      </c>
      <c r="K50" s="75">
        <f t="shared" si="145"/>
        <v>30</v>
      </c>
      <c r="L50" s="20">
        <f t="shared" si="127"/>
        <v>0</v>
      </c>
      <c r="M50" s="111">
        <f t="shared" si="146"/>
        <v>31</v>
      </c>
      <c r="N50" s="20">
        <f t="shared" si="128"/>
        <v>143.774</v>
      </c>
      <c r="U50" s="26">
        <f t="shared" si="129"/>
        <v>0</v>
      </c>
      <c r="V50" s="26">
        <f t="shared" si="130"/>
        <v>13924.785532994925</v>
      </c>
      <c r="W50" s="106">
        <f t="shared" si="167"/>
        <v>13924.785532994925</v>
      </c>
      <c r="X50" s="26">
        <f t="shared" si="131"/>
        <v>105637.15</v>
      </c>
      <c r="Y50" s="26">
        <f t="shared" si="132"/>
        <v>23433.424796954314</v>
      </c>
      <c r="Z50" s="106">
        <f t="shared" si="168"/>
        <v>129070.57479695432</v>
      </c>
      <c r="AA50" s="26">
        <f t="shared" si="133"/>
        <v>0</v>
      </c>
      <c r="AB50" s="26">
        <f t="shared" si="134"/>
        <v>0</v>
      </c>
      <c r="AC50" s="106">
        <f t="shared" si="169"/>
        <v>0</v>
      </c>
      <c r="AD50" s="106">
        <f t="shared" si="135"/>
        <v>0</v>
      </c>
      <c r="AF50" s="26">
        <f t="shared" si="170"/>
        <v>142995.36032994924</v>
      </c>
      <c r="AG50" s="106">
        <f t="shared" si="136"/>
        <v>168229.83568229323</v>
      </c>
      <c r="AI50" s="36">
        <f t="shared" si="171"/>
        <v>46.730509911748115</v>
      </c>
      <c r="AJ50" s="20">
        <f t="shared" si="138"/>
        <v>4.3268990659026025</v>
      </c>
      <c r="AK50" s="20">
        <f t="shared" si="139"/>
        <v>4.4085386709196337</v>
      </c>
      <c r="AL50" s="20">
        <f t="shared" si="140"/>
        <v>5.433780222296293</v>
      </c>
      <c r="AN50" s="26">
        <f t="shared" si="172"/>
        <v>0</v>
      </c>
      <c r="AO50" s="107">
        <f t="shared" si="141"/>
        <v>0</v>
      </c>
      <c r="AP50" s="36">
        <f t="shared" si="173"/>
        <v>0</v>
      </c>
      <c r="AQ50" s="111">
        <f t="shared" si="154"/>
        <v>1.24</v>
      </c>
      <c r="AU50" s="26">
        <f t="shared" si="164"/>
        <v>11579.061802755708</v>
      </c>
      <c r="AV50" s="107">
        <f t="shared" si="143"/>
        <v>13622.425650300835</v>
      </c>
      <c r="AW50" s="36">
        <f t="shared" si="155"/>
        <v>3.7840071250835652</v>
      </c>
      <c r="AY50" s="20">
        <f t="shared" si="144"/>
        <v>46.730509911748115</v>
      </c>
      <c r="AZ50" s="20">
        <f t="shared" si="156"/>
        <v>5.024007125083565</v>
      </c>
      <c r="BB50" s="20">
        <f t="shared" si="174"/>
        <v>12.523776656348495</v>
      </c>
      <c r="BC50" s="20">
        <f t="shared" si="175"/>
        <v>1.0148494392668801</v>
      </c>
    </row>
    <row r="51" spans="2:55" x14ac:dyDescent="0.25">
      <c r="E51" s="10">
        <v>40</v>
      </c>
      <c r="F51" s="11">
        <v>0.4</v>
      </c>
      <c r="G51" s="20">
        <f t="shared" si="123"/>
        <v>400</v>
      </c>
      <c r="H51" s="20">
        <f t="shared" si="124"/>
        <v>6.0913705583756341</v>
      </c>
      <c r="I51" s="20">
        <f t="shared" si="125"/>
        <v>546</v>
      </c>
      <c r="J51" s="20">
        <f t="shared" si="126"/>
        <v>8.3147208121827401</v>
      </c>
      <c r="K51" s="75">
        <f t="shared" si="145"/>
        <v>25</v>
      </c>
      <c r="L51" s="20">
        <f t="shared" si="127"/>
        <v>0</v>
      </c>
      <c r="M51" s="111">
        <f t="shared" si="146"/>
        <v>29</v>
      </c>
      <c r="N51" s="20">
        <f t="shared" si="128"/>
        <v>134.411</v>
      </c>
      <c r="U51" s="26">
        <f t="shared" si="129"/>
        <v>0</v>
      </c>
      <c r="V51" s="26">
        <f t="shared" si="130"/>
        <v>15914.040609137053</v>
      </c>
      <c r="W51" s="106">
        <f t="shared" si="167"/>
        <v>15914.040609137053</v>
      </c>
      <c r="X51" s="26">
        <f t="shared" si="131"/>
        <v>97925.099999999991</v>
      </c>
      <c r="Y51" s="26">
        <f t="shared" si="132"/>
        <v>21722.66543147208</v>
      </c>
      <c r="Z51" s="106">
        <f t="shared" si="168"/>
        <v>119647.76543147207</v>
      </c>
      <c r="AA51" s="26">
        <f t="shared" si="133"/>
        <v>0</v>
      </c>
      <c r="AB51" s="26">
        <f t="shared" si="134"/>
        <v>0</v>
      </c>
      <c r="AC51" s="106">
        <f t="shared" si="169"/>
        <v>0</v>
      </c>
      <c r="AD51" s="106">
        <f t="shared" si="135"/>
        <v>0</v>
      </c>
      <c r="AF51" s="26">
        <f t="shared" si="170"/>
        <v>135561.80604060914</v>
      </c>
      <c r="AG51" s="106">
        <f t="shared" si="136"/>
        <v>159484.47769483429</v>
      </c>
      <c r="AI51" s="36">
        <f t="shared" si="171"/>
        <v>44.301243804120638</v>
      </c>
      <c r="AJ51" s="20">
        <f t="shared" si="138"/>
        <v>4.1019670189000585</v>
      </c>
      <c r="AK51" s="20">
        <f t="shared" si="139"/>
        <v>4.179362623030249</v>
      </c>
      <c r="AL51" s="20">
        <f t="shared" si="140"/>
        <v>5.1513074190837953</v>
      </c>
      <c r="AN51" s="26">
        <f t="shared" si="172"/>
        <v>0</v>
      </c>
      <c r="AO51" s="107">
        <f t="shared" si="141"/>
        <v>0</v>
      </c>
      <c r="AP51" s="36">
        <f t="shared" si="173"/>
        <v>0</v>
      </c>
      <c r="AQ51" s="111">
        <f t="shared" si="154"/>
        <v>1.1599999999999999</v>
      </c>
      <c r="AU51" s="26">
        <f t="shared" si="164"/>
        <v>11694.852420783265</v>
      </c>
      <c r="AV51" s="107">
        <f t="shared" si="143"/>
        <v>13758.649906803841</v>
      </c>
      <c r="AW51" s="36">
        <f t="shared" si="155"/>
        <v>3.8218471963344003</v>
      </c>
      <c r="AY51" s="20">
        <f t="shared" si="144"/>
        <v>44.301243804120638</v>
      </c>
      <c r="AZ51" s="20">
        <f t="shared" si="156"/>
        <v>4.9818471963344004</v>
      </c>
      <c r="BB51" s="20">
        <f t="shared" si="174"/>
        <v>11.872733339504332</v>
      </c>
      <c r="BC51" s="20">
        <f t="shared" si="175"/>
        <v>1.0063331336595489</v>
      </c>
    </row>
    <row r="52" spans="2:55" x14ac:dyDescent="0.25">
      <c r="E52" s="10">
        <v>45</v>
      </c>
      <c r="F52" s="11">
        <v>0.45</v>
      </c>
      <c r="G52" s="20">
        <f t="shared" si="123"/>
        <v>450</v>
      </c>
      <c r="H52" s="20">
        <f t="shared" si="124"/>
        <v>6.8527918781725887</v>
      </c>
      <c r="I52" s="20">
        <f t="shared" si="125"/>
        <v>503</v>
      </c>
      <c r="J52" s="20">
        <f t="shared" si="126"/>
        <v>7.6598984771573599</v>
      </c>
      <c r="K52" s="75">
        <f t="shared" si="145"/>
        <v>20</v>
      </c>
      <c r="L52" s="20">
        <f t="shared" si="127"/>
        <v>0</v>
      </c>
      <c r="M52" s="111">
        <f t="shared" si="146"/>
        <v>27</v>
      </c>
      <c r="N52" s="20">
        <f t="shared" si="128"/>
        <v>125.048</v>
      </c>
      <c r="U52" s="26">
        <f t="shared" si="129"/>
        <v>0</v>
      </c>
      <c r="V52" s="26">
        <f t="shared" si="130"/>
        <v>17903.295685279187</v>
      </c>
      <c r="W52" s="106">
        <f t="shared" si="167"/>
        <v>17903.295685279187</v>
      </c>
      <c r="X52" s="26">
        <f t="shared" si="131"/>
        <v>90213.05</v>
      </c>
      <c r="Y52" s="26">
        <f t="shared" si="132"/>
        <v>20011.906065989846</v>
      </c>
      <c r="Z52" s="106">
        <f t="shared" si="168"/>
        <v>110224.95606598986</v>
      </c>
      <c r="AA52" s="26">
        <f t="shared" si="133"/>
        <v>0</v>
      </c>
      <c r="AB52" s="26">
        <f t="shared" si="134"/>
        <v>0</v>
      </c>
      <c r="AC52" s="106">
        <f t="shared" si="169"/>
        <v>0</v>
      </c>
      <c r="AD52" s="106">
        <f t="shared" si="135"/>
        <v>0</v>
      </c>
      <c r="AF52" s="26">
        <f t="shared" si="170"/>
        <v>128128.25175126904</v>
      </c>
      <c r="AG52" s="106">
        <f t="shared" si="136"/>
        <v>150739.11970737536</v>
      </c>
      <c r="AI52" s="36">
        <f t="shared" si="171"/>
        <v>41.871977696493154</v>
      </c>
      <c r="AJ52" s="20">
        <f t="shared" si="138"/>
        <v>3.8770349718975141</v>
      </c>
      <c r="AK52" s="20">
        <f t="shared" si="139"/>
        <v>3.9501865751408638</v>
      </c>
      <c r="AL52" s="20">
        <f t="shared" si="140"/>
        <v>4.8688346158712976</v>
      </c>
      <c r="AN52" s="26">
        <f t="shared" si="172"/>
        <v>0</v>
      </c>
      <c r="AO52" s="107">
        <f t="shared" si="141"/>
        <v>0</v>
      </c>
      <c r="AP52" s="36">
        <f t="shared" si="173"/>
        <v>0</v>
      </c>
      <c r="AQ52" s="111">
        <f t="shared" si="154"/>
        <v>1.08</v>
      </c>
      <c r="AU52" s="26">
        <f t="shared" si="164"/>
        <v>11811.800944991099</v>
      </c>
      <c r="AV52" s="107">
        <f t="shared" si="143"/>
        <v>13896.236405871881</v>
      </c>
      <c r="AW52" s="36">
        <f t="shared" si="155"/>
        <v>3.8600656682977448</v>
      </c>
      <c r="AY52" s="20">
        <f t="shared" si="144"/>
        <v>41.871977696493154</v>
      </c>
      <c r="AZ52" s="20">
        <f t="shared" si="156"/>
        <v>4.9400656682977448</v>
      </c>
      <c r="BB52" s="20">
        <f t="shared" si="174"/>
        <v>11.221690022660166</v>
      </c>
      <c r="BC52" s="20">
        <f t="shared" si="175"/>
        <v>0.9978932649961445</v>
      </c>
    </row>
    <row r="53" spans="2:55" x14ac:dyDescent="0.25">
      <c r="E53" s="10">
        <v>50</v>
      </c>
      <c r="F53" s="11">
        <v>0.5</v>
      </c>
      <c r="G53" s="20">
        <f t="shared" si="123"/>
        <v>500</v>
      </c>
      <c r="H53" s="20">
        <f t="shared" si="124"/>
        <v>7.6142131979695433</v>
      </c>
      <c r="I53" s="20">
        <f t="shared" si="125"/>
        <v>460</v>
      </c>
      <c r="J53" s="20">
        <f t="shared" si="126"/>
        <v>7.0050761421319798</v>
      </c>
      <c r="K53" s="75">
        <f t="shared" si="145"/>
        <v>15</v>
      </c>
      <c r="L53" s="20">
        <f t="shared" si="127"/>
        <v>0</v>
      </c>
      <c r="M53" s="111">
        <f t="shared" si="146"/>
        <v>25</v>
      </c>
      <c r="N53" s="20">
        <f t="shared" si="128"/>
        <v>115.685</v>
      </c>
      <c r="U53" s="26">
        <f t="shared" si="129"/>
        <v>0</v>
      </c>
      <c r="V53" s="26">
        <f t="shared" si="130"/>
        <v>19892.55076142132</v>
      </c>
      <c r="W53" s="106">
        <f t="shared" si="159"/>
        <v>19892.55076142132</v>
      </c>
      <c r="X53" s="26">
        <f t="shared" si="131"/>
        <v>82501</v>
      </c>
      <c r="Y53" s="26">
        <f t="shared" si="132"/>
        <v>18301.146700507616</v>
      </c>
      <c r="Z53" s="106">
        <f t="shared" si="160"/>
        <v>100802.14670050761</v>
      </c>
      <c r="AA53" s="26">
        <f t="shared" si="133"/>
        <v>0</v>
      </c>
      <c r="AB53" s="26">
        <f t="shared" si="134"/>
        <v>0</v>
      </c>
      <c r="AC53" s="106">
        <f t="shared" si="161"/>
        <v>0</v>
      </c>
      <c r="AD53" s="106">
        <f t="shared" si="135"/>
        <v>0</v>
      </c>
      <c r="AF53" s="26">
        <f t="shared" si="162"/>
        <v>120694.69746192894</v>
      </c>
      <c r="AG53" s="106">
        <f t="shared" si="136"/>
        <v>141993.76171991639</v>
      </c>
      <c r="AI53" s="36">
        <f t="shared" si="137"/>
        <v>39.442711588865663</v>
      </c>
      <c r="AJ53" s="20">
        <f t="shared" si="138"/>
        <v>3.6521029248949683</v>
      </c>
      <c r="AK53" s="20">
        <f t="shared" si="139"/>
        <v>3.7210105272514777</v>
      </c>
      <c r="AL53" s="20">
        <f t="shared" si="140"/>
        <v>4.5863618126587982</v>
      </c>
      <c r="AN53" s="26">
        <f t="shared" si="163"/>
        <v>0</v>
      </c>
      <c r="AO53" s="107">
        <f t="shared" si="141"/>
        <v>0</v>
      </c>
      <c r="AP53" s="36">
        <f t="shared" si="142"/>
        <v>0</v>
      </c>
      <c r="AQ53" s="111">
        <f t="shared" si="154"/>
        <v>1</v>
      </c>
      <c r="AU53" s="26">
        <f t="shared" si="164"/>
        <v>11929.918954441009</v>
      </c>
      <c r="AV53" s="107">
        <f t="shared" si="143"/>
        <v>14035.198769930599</v>
      </c>
      <c r="AW53" s="36">
        <f t="shared" si="155"/>
        <v>3.8986663249807219</v>
      </c>
      <c r="AY53" s="20">
        <f t="shared" si="144"/>
        <v>39.442711588865663</v>
      </c>
      <c r="AZ53" s="20">
        <f t="shared" si="156"/>
        <v>4.8986663249807219</v>
      </c>
      <c r="BB53" s="20">
        <f t="shared" si="165"/>
        <v>10.570646705815998</v>
      </c>
      <c r="BC53" s="20">
        <f t="shared" si="166"/>
        <v>0.98953059764610585</v>
      </c>
    </row>
    <row r="54" spans="2:55" x14ac:dyDescent="0.25">
      <c r="E54" s="10">
        <v>55</v>
      </c>
      <c r="F54" s="11">
        <v>0.55000000000000004</v>
      </c>
      <c r="G54" s="20">
        <f t="shared" ref="G54:G63" si="176">G21</f>
        <v>550</v>
      </c>
      <c r="H54" s="20">
        <f t="shared" ref="H54:H63" si="177">I21</f>
        <v>8.3756345177664961</v>
      </c>
      <c r="I54" s="20">
        <f t="shared" ref="I54:I63" si="178">N21</f>
        <v>417</v>
      </c>
      <c r="J54" s="20">
        <f t="shared" ref="J54:J63" si="179">P21</f>
        <v>6.3502538071065988</v>
      </c>
      <c r="K54" s="75">
        <f t="shared" si="145"/>
        <v>10</v>
      </c>
      <c r="L54" s="20">
        <f t="shared" ref="L54" si="180">T21</f>
        <v>0</v>
      </c>
      <c r="M54" s="111">
        <f t="shared" si="146"/>
        <v>23</v>
      </c>
      <c r="N54" s="20">
        <f t="shared" si="128"/>
        <v>106.322</v>
      </c>
      <c r="U54" s="26">
        <f t="shared" si="129"/>
        <v>0</v>
      </c>
      <c r="V54" s="26">
        <f t="shared" si="130"/>
        <v>21881.80583756345</v>
      </c>
      <c r="W54" s="106">
        <f t="shared" ref="W54:W63" si="181">SUM(U54:V54)</f>
        <v>21881.80583756345</v>
      </c>
      <c r="X54" s="26">
        <f t="shared" si="131"/>
        <v>74788.95</v>
      </c>
      <c r="Y54" s="26">
        <f t="shared" si="132"/>
        <v>16590.387335025378</v>
      </c>
      <c r="Z54" s="106">
        <f t="shared" ref="Z54:Z63" si="182">SUM(X54:Y54)</f>
        <v>91379.337335025368</v>
      </c>
      <c r="AA54" s="26">
        <f t="shared" si="133"/>
        <v>0</v>
      </c>
      <c r="AB54" s="26">
        <f t="shared" si="134"/>
        <v>0</v>
      </c>
      <c r="AC54" s="106">
        <f t="shared" ref="AC54:AC63" si="183">SUM(AA54:AB54)</f>
        <v>0</v>
      </c>
      <c r="AD54" s="106">
        <f t="shared" si="135"/>
        <v>0</v>
      </c>
      <c r="AF54" s="26">
        <f t="shared" ref="AF54:AF63" si="184">W54+Z54+AC54</f>
        <v>113261.14317258881</v>
      </c>
      <c r="AG54" s="106">
        <f t="shared" si="136"/>
        <v>133248.40373245743</v>
      </c>
      <c r="AI54" s="36">
        <f t="shared" ref="AI54:AI63" si="185">AG54/3600</f>
        <v>37.013445481238172</v>
      </c>
      <c r="AJ54" s="20">
        <f t="shared" si="138"/>
        <v>3.427170877892423</v>
      </c>
      <c r="AK54" s="20">
        <f t="shared" si="139"/>
        <v>3.4918344793620917</v>
      </c>
      <c r="AL54" s="20">
        <f t="shared" si="140"/>
        <v>4.3038890094462996</v>
      </c>
      <c r="AN54" s="26">
        <f t="shared" ref="AN54:AN63" si="186">AD54</f>
        <v>0</v>
      </c>
      <c r="AO54" s="107">
        <f t="shared" si="141"/>
        <v>0</v>
      </c>
      <c r="AP54" s="36">
        <f t="shared" ref="AP54:AP63" si="187">AN54/3600</f>
        <v>0</v>
      </c>
      <c r="AQ54" s="111">
        <f t="shared" si="154"/>
        <v>0.92</v>
      </c>
      <c r="AU54" s="26">
        <f t="shared" si="164"/>
        <v>12049.218143985419</v>
      </c>
      <c r="AV54" s="107">
        <f t="shared" si="143"/>
        <v>14175.550757629906</v>
      </c>
      <c r="AW54" s="36">
        <f t="shared" ref="AW54:AW63" si="188">AV54/3600</f>
        <v>3.9376529882305293</v>
      </c>
      <c r="AY54" s="20">
        <f t="shared" si="144"/>
        <v>37.013445481238172</v>
      </c>
      <c r="AZ54" s="20">
        <f t="shared" si="156"/>
        <v>4.8576529882305293</v>
      </c>
      <c r="BB54" s="20">
        <f t="shared" ref="BB54:BB62" si="189">AY54*$C$20</f>
        <v>9.9196033889718311</v>
      </c>
      <c r="BC54" s="20">
        <f t="shared" ref="BC54:BC62" si="190">AZ54*$C$9</f>
        <v>0.98124590362256703</v>
      </c>
    </row>
    <row r="55" spans="2:55" x14ac:dyDescent="0.25">
      <c r="D55" s="109"/>
      <c r="E55" s="10">
        <v>60</v>
      </c>
      <c r="F55" s="11">
        <v>0.6</v>
      </c>
      <c r="G55" s="20">
        <f t="shared" si="176"/>
        <v>600</v>
      </c>
      <c r="H55" s="20">
        <f t="shared" si="177"/>
        <v>9.1370558375634516</v>
      </c>
      <c r="I55" s="20">
        <f t="shared" si="178"/>
        <v>374</v>
      </c>
      <c r="J55" s="20">
        <f t="shared" si="179"/>
        <v>5.6954314720812178</v>
      </c>
      <c r="K55" s="75">
        <f t="shared" si="145"/>
        <v>5</v>
      </c>
      <c r="L55" s="20">
        <f t="shared" ref="L55" si="191">T22</f>
        <v>0</v>
      </c>
      <c r="M55" s="111">
        <f t="shared" si="146"/>
        <v>21</v>
      </c>
      <c r="N55" s="20">
        <f t="shared" si="128"/>
        <v>96.959000000000003</v>
      </c>
      <c r="U55" s="26">
        <f t="shared" si="129"/>
        <v>0</v>
      </c>
      <c r="V55" s="26">
        <f t="shared" si="130"/>
        <v>23871.060913705584</v>
      </c>
      <c r="W55" s="106">
        <f t="shared" si="181"/>
        <v>23871.060913705584</v>
      </c>
      <c r="X55" s="26">
        <f t="shared" si="131"/>
        <v>67076.899999999994</v>
      </c>
      <c r="Y55" s="26">
        <f t="shared" si="132"/>
        <v>14879.627969543146</v>
      </c>
      <c r="Z55" s="106">
        <f t="shared" si="182"/>
        <v>81956.527969543138</v>
      </c>
      <c r="AA55" s="26">
        <f t="shared" si="133"/>
        <v>0</v>
      </c>
      <c r="AB55" s="26">
        <f t="shared" si="134"/>
        <v>0</v>
      </c>
      <c r="AC55" s="106">
        <f t="shared" si="183"/>
        <v>0</v>
      </c>
      <c r="AD55" s="106">
        <f t="shared" si="135"/>
        <v>0</v>
      </c>
      <c r="AF55" s="26">
        <f t="shared" si="184"/>
        <v>105827.58888324873</v>
      </c>
      <c r="AG55" s="106">
        <f t="shared" si="136"/>
        <v>124503.0457449985</v>
      </c>
      <c r="AI55" s="36">
        <f t="shared" si="185"/>
        <v>34.584179373610695</v>
      </c>
      <c r="AJ55" s="20">
        <f t="shared" si="138"/>
        <v>3.202238830889879</v>
      </c>
      <c r="AK55" s="20">
        <f t="shared" si="139"/>
        <v>3.2626584314727074</v>
      </c>
      <c r="AL55" s="20">
        <f t="shared" si="140"/>
        <v>4.0214162062338019</v>
      </c>
      <c r="AN55" s="26">
        <f t="shared" si="186"/>
        <v>0</v>
      </c>
      <c r="AO55" s="107">
        <f t="shared" si="141"/>
        <v>0</v>
      </c>
      <c r="AP55" s="36">
        <f t="shared" si="187"/>
        <v>0</v>
      </c>
      <c r="AQ55" s="111">
        <f t="shared" si="154"/>
        <v>0.84</v>
      </c>
      <c r="AU55" s="26">
        <f t="shared" si="164"/>
        <v>12169.710325425274</v>
      </c>
      <c r="AV55" s="107">
        <f t="shared" si="143"/>
        <v>14317.306265206205</v>
      </c>
      <c r="AW55" s="36">
        <f t="shared" si="188"/>
        <v>3.9770295181128348</v>
      </c>
      <c r="AY55" s="20">
        <f t="shared" si="144"/>
        <v>34.584179373610695</v>
      </c>
      <c r="AZ55" s="20">
        <f t="shared" si="156"/>
        <v>4.8170295181128351</v>
      </c>
      <c r="BB55" s="20">
        <f t="shared" si="189"/>
        <v>9.2685600721276664</v>
      </c>
      <c r="BC55" s="20">
        <f t="shared" si="190"/>
        <v>0.97303996265879278</v>
      </c>
    </row>
    <row r="56" spans="2:55" x14ac:dyDescent="0.25">
      <c r="D56" s="109"/>
      <c r="E56" s="10">
        <v>65</v>
      </c>
      <c r="F56" s="11">
        <v>0.65</v>
      </c>
      <c r="G56" s="20">
        <f t="shared" si="176"/>
        <v>650</v>
      </c>
      <c r="H56" s="20">
        <f t="shared" si="177"/>
        <v>9.8984771573604053</v>
      </c>
      <c r="I56" s="20">
        <f t="shared" si="178"/>
        <v>331</v>
      </c>
      <c r="J56" s="20">
        <f t="shared" si="179"/>
        <v>5.0406091370558377</v>
      </c>
      <c r="K56" s="75">
        <f t="shared" si="145"/>
        <v>0</v>
      </c>
      <c r="L56" s="20">
        <f t="shared" ref="L56" si="192">T23</f>
        <v>0</v>
      </c>
      <c r="M56" s="111">
        <f t="shared" si="146"/>
        <v>19</v>
      </c>
      <c r="N56" s="20">
        <f t="shared" si="128"/>
        <v>87.596000000000004</v>
      </c>
      <c r="U56" s="26">
        <f t="shared" si="129"/>
        <v>0</v>
      </c>
      <c r="V56" s="26">
        <f t="shared" si="130"/>
        <v>25860.315989847713</v>
      </c>
      <c r="W56" s="106">
        <f t="shared" si="181"/>
        <v>25860.315989847713</v>
      </c>
      <c r="X56" s="26">
        <f t="shared" si="131"/>
        <v>59364.849999999991</v>
      </c>
      <c r="Y56" s="26">
        <f t="shared" si="132"/>
        <v>13168.868604060914</v>
      </c>
      <c r="Z56" s="106">
        <f t="shared" si="182"/>
        <v>72533.718604060909</v>
      </c>
      <c r="AA56" s="26">
        <f t="shared" si="133"/>
        <v>0</v>
      </c>
      <c r="AB56" s="26">
        <f t="shared" si="134"/>
        <v>0</v>
      </c>
      <c r="AC56" s="106">
        <f t="shared" si="183"/>
        <v>0</v>
      </c>
      <c r="AD56" s="106">
        <f t="shared" si="135"/>
        <v>0</v>
      </c>
      <c r="AF56" s="26">
        <f t="shared" si="184"/>
        <v>98394.034593908626</v>
      </c>
      <c r="AG56" s="106">
        <f t="shared" si="136"/>
        <v>115757.68775753956</v>
      </c>
      <c r="AI56" s="36">
        <f t="shared" si="185"/>
        <v>32.154913265983211</v>
      </c>
      <c r="AJ56" s="20">
        <f t="shared" si="138"/>
        <v>2.9773067838873342</v>
      </c>
      <c r="AK56" s="20">
        <f t="shared" si="139"/>
        <v>3.0334823835833218</v>
      </c>
      <c r="AL56" s="20">
        <f t="shared" si="140"/>
        <v>3.7389434030213038</v>
      </c>
      <c r="AN56" s="26">
        <f t="shared" si="186"/>
        <v>0</v>
      </c>
      <c r="AO56" s="107">
        <f t="shared" si="141"/>
        <v>0</v>
      </c>
      <c r="AP56" s="36">
        <f t="shared" si="187"/>
        <v>0</v>
      </c>
      <c r="AQ56" s="111">
        <f t="shared" si="154"/>
        <v>0.76</v>
      </c>
      <c r="AU56" s="26">
        <f t="shared" si="164"/>
        <v>12291.407428679528</v>
      </c>
      <c r="AV56" s="107">
        <f t="shared" si="143"/>
        <v>14460.479327858267</v>
      </c>
      <c r="AW56" s="36">
        <f t="shared" si="188"/>
        <v>4.0167998132939635</v>
      </c>
      <c r="AY56" s="20">
        <f t="shared" si="144"/>
        <v>32.154913265983211</v>
      </c>
      <c r="AZ56" s="20">
        <f t="shared" si="156"/>
        <v>4.7767998132939633</v>
      </c>
      <c r="BB56" s="20">
        <f t="shared" si="189"/>
        <v>8.6175167552835017</v>
      </c>
      <c r="BC56" s="20">
        <f t="shared" si="190"/>
        <v>0.96491356228538061</v>
      </c>
    </row>
    <row r="57" spans="2:55" x14ac:dyDescent="0.25">
      <c r="D57" s="109"/>
      <c r="E57" s="10">
        <v>70</v>
      </c>
      <c r="F57" s="11">
        <v>0.7</v>
      </c>
      <c r="G57" s="20">
        <f t="shared" si="176"/>
        <v>700</v>
      </c>
      <c r="H57" s="20">
        <f t="shared" si="177"/>
        <v>10.659898477157361</v>
      </c>
      <c r="I57" s="20">
        <f t="shared" si="178"/>
        <v>288</v>
      </c>
      <c r="J57" s="20">
        <f t="shared" si="179"/>
        <v>4.3857868020304567</v>
      </c>
      <c r="K57" s="75">
        <f t="shared" si="145"/>
        <v>0</v>
      </c>
      <c r="L57" s="20">
        <f t="shared" ref="L57" si="193">T24</f>
        <v>0</v>
      </c>
      <c r="M57" s="111">
        <f t="shared" si="146"/>
        <v>17</v>
      </c>
      <c r="N57" s="20">
        <f t="shared" si="128"/>
        <v>78.307999999999993</v>
      </c>
      <c r="U57" s="26">
        <f t="shared" si="129"/>
        <v>0</v>
      </c>
      <c r="V57" s="26">
        <f t="shared" si="130"/>
        <v>27849.57106598985</v>
      </c>
      <c r="W57" s="106">
        <f t="shared" si="181"/>
        <v>27849.57106598985</v>
      </c>
      <c r="X57" s="26">
        <f t="shared" si="131"/>
        <v>51652.799999999996</v>
      </c>
      <c r="Y57" s="26">
        <f t="shared" si="132"/>
        <v>11458.10923857868</v>
      </c>
      <c r="Z57" s="106">
        <f t="shared" si="182"/>
        <v>63110.909238578679</v>
      </c>
      <c r="AA57" s="26">
        <f t="shared" si="133"/>
        <v>0</v>
      </c>
      <c r="AB57" s="26">
        <f t="shared" si="134"/>
        <v>0</v>
      </c>
      <c r="AC57" s="106">
        <f t="shared" si="183"/>
        <v>0</v>
      </c>
      <c r="AD57" s="106">
        <f t="shared" si="135"/>
        <v>0</v>
      </c>
      <c r="AF57" s="26">
        <f t="shared" si="184"/>
        <v>90960.480304568526</v>
      </c>
      <c r="AG57" s="106">
        <f t="shared" si="136"/>
        <v>107012.32977008061</v>
      </c>
      <c r="AI57" s="36">
        <f t="shared" si="185"/>
        <v>29.725647158355727</v>
      </c>
      <c r="AJ57" s="20">
        <f t="shared" si="138"/>
        <v>2.7523747368847893</v>
      </c>
      <c r="AK57" s="20">
        <f t="shared" si="139"/>
        <v>2.8043063356939366</v>
      </c>
      <c r="AL57" s="20">
        <f t="shared" si="140"/>
        <v>3.4564705998088057</v>
      </c>
      <c r="AN57" s="26">
        <f t="shared" si="186"/>
        <v>0</v>
      </c>
      <c r="AO57" s="107">
        <f t="shared" si="141"/>
        <v>0</v>
      </c>
      <c r="AP57" s="36">
        <f t="shared" si="187"/>
        <v>0</v>
      </c>
      <c r="AQ57" s="111">
        <f t="shared" si="154"/>
        <v>0.68</v>
      </c>
      <c r="AU57" s="26">
        <f t="shared" si="164"/>
        <v>12414.321502966322</v>
      </c>
      <c r="AV57" s="107">
        <f t="shared" si="143"/>
        <v>14605.08412113685</v>
      </c>
      <c r="AW57" s="36">
        <f t="shared" si="188"/>
        <v>4.0569678114269028</v>
      </c>
      <c r="AY57" s="20">
        <f t="shared" si="144"/>
        <v>29.725647158355727</v>
      </c>
      <c r="AZ57" s="20">
        <f t="shared" si="156"/>
        <v>4.7369678114269025</v>
      </c>
      <c r="BB57" s="20">
        <f t="shared" si="189"/>
        <v>7.9664734384393352</v>
      </c>
      <c r="BC57" s="20">
        <f t="shared" si="190"/>
        <v>0.95686749790823433</v>
      </c>
    </row>
    <row r="58" spans="2:55" x14ac:dyDescent="0.25">
      <c r="E58" s="10">
        <v>75</v>
      </c>
      <c r="F58" s="11">
        <v>0.75</v>
      </c>
      <c r="G58" s="20">
        <f t="shared" si="176"/>
        <v>750</v>
      </c>
      <c r="H58" s="20">
        <f t="shared" si="177"/>
        <v>11.421319796954315</v>
      </c>
      <c r="I58" s="20">
        <f t="shared" si="178"/>
        <v>245</v>
      </c>
      <c r="J58" s="20">
        <f t="shared" si="179"/>
        <v>3.7309644670050757</v>
      </c>
      <c r="K58" s="75">
        <f t="shared" si="145"/>
        <v>0</v>
      </c>
      <c r="L58" s="20">
        <f t="shared" ref="L58" si="194">T25</f>
        <v>0</v>
      </c>
      <c r="M58" s="111">
        <f t="shared" si="146"/>
        <v>15</v>
      </c>
      <c r="N58" s="20">
        <f t="shared" si="128"/>
        <v>69.02</v>
      </c>
      <c r="U58" s="26">
        <f t="shared" si="129"/>
        <v>0</v>
      </c>
      <c r="V58" s="26">
        <f t="shared" si="130"/>
        <v>29838.826142131977</v>
      </c>
      <c r="W58" s="106">
        <f t="shared" si="181"/>
        <v>29838.826142131977</v>
      </c>
      <c r="X58" s="26">
        <f t="shared" si="131"/>
        <v>43940.75</v>
      </c>
      <c r="Y58" s="26">
        <f t="shared" si="132"/>
        <v>9747.3498730964457</v>
      </c>
      <c r="Z58" s="106">
        <f t="shared" si="182"/>
        <v>53688.099873096449</v>
      </c>
      <c r="AA58" s="26">
        <f t="shared" si="133"/>
        <v>0</v>
      </c>
      <c r="AB58" s="26">
        <f t="shared" si="134"/>
        <v>0</v>
      </c>
      <c r="AC58" s="106">
        <f t="shared" si="183"/>
        <v>0</v>
      </c>
      <c r="AD58" s="106">
        <f t="shared" si="135"/>
        <v>0</v>
      </c>
      <c r="AF58" s="26">
        <f t="shared" si="184"/>
        <v>83526.926015228426</v>
      </c>
      <c r="AG58" s="106">
        <f t="shared" si="136"/>
        <v>98266.97178262168</v>
      </c>
      <c r="AI58" s="36">
        <f t="shared" si="185"/>
        <v>27.296381050728243</v>
      </c>
      <c r="AJ58" s="20">
        <f t="shared" si="138"/>
        <v>2.5274426898822444</v>
      </c>
      <c r="AK58" s="20">
        <f t="shared" si="139"/>
        <v>2.5751302878045514</v>
      </c>
      <c r="AL58" s="20">
        <f t="shared" si="140"/>
        <v>3.1739977965963075</v>
      </c>
      <c r="AN58" s="26">
        <f t="shared" si="186"/>
        <v>0</v>
      </c>
      <c r="AO58" s="107">
        <f t="shared" si="141"/>
        <v>0</v>
      </c>
      <c r="AP58" s="36">
        <f t="shared" si="187"/>
        <v>0</v>
      </c>
      <c r="AQ58" s="111">
        <f t="shared" si="154"/>
        <v>0.6</v>
      </c>
      <c r="AU58" s="26">
        <f t="shared" si="164"/>
        <v>12538.464717995987</v>
      </c>
      <c r="AV58" s="107">
        <f t="shared" si="143"/>
        <v>14751.13496234822</v>
      </c>
      <c r="AW58" s="36">
        <f t="shared" si="188"/>
        <v>4.097537489541172</v>
      </c>
      <c r="AY58" s="20">
        <f t="shared" si="144"/>
        <v>27.296381050728243</v>
      </c>
      <c r="AZ58" s="20">
        <f t="shared" si="156"/>
        <v>4.6975374895411717</v>
      </c>
      <c r="BB58" s="20">
        <f t="shared" si="189"/>
        <v>7.3154301215951696</v>
      </c>
      <c r="BC58" s="20">
        <f t="shared" si="190"/>
        <v>0.94890257288731672</v>
      </c>
    </row>
    <row r="59" spans="2:55" x14ac:dyDescent="0.25">
      <c r="E59" s="10">
        <v>80</v>
      </c>
      <c r="F59" s="11">
        <v>0.8</v>
      </c>
      <c r="G59" s="20">
        <f t="shared" si="176"/>
        <v>800</v>
      </c>
      <c r="H59" s="20">
        <f t="shared" si="177"/>
        <v>12.182741116751268</v>
      </c>
      <c r="I59" s="20">
        <f t="shared" si="178"/>
        <v>202</v>
      </c>
      <c r="J59" s="20">
        <f t="shared" si="179"/>
        <v>3.0761421319796955</v>
      </c>
      <c r="K59" s="75">
        <f t="shared" si="145"/>
        <v>0</v>
      </c>
      <c r="L59" s="20">
        <f t="shared" ref="L59" si="195">T26</f>
        <v>0</v>
      </c>
      <c r="M59" s="111">
        <f t="shared" si="146"/>
        <v>13</v>
      </c>
      <c r="N59" s="20">
        <f t="shared" si="128"/>
        <v>59.731999999999999</v>
      </c>
      <c r="U59" s="26">
        <f t="shared" si="129"/>
        <v>0</v>
      </c>
      <c r="V59" s="26">
        <f t="shared" si="130"/>
        <v>31828.081218274107</v>
      </c>
      <c r="W59" s="106">
        <f t="shared" si="181"/>
        <v>31828.081218274107</v>
      </c>
      <c r="X59" s="26">
        <f t="shared" si="131"/>
        <v>36228.699999999997</v>
      </c>
      <c r="Y59" s="26">
        <f t="shared" si="132"/>
        <v>8036.5905076142135</v>
      </c>
      <c r="Z59" s="106">
        <f t="shared" si="182"/>
        <v>44265.290507614212</v>
      </c>
      <c r="AA59" s="26">
        <f t="shared" si="133"/>
        <v>0</v>
      </c>
      <c r="AB59" s="26">
        <f t="shared" si="134"/>
        <v>0</v>
      </c>
      <c r="AC59" s="106">
        <f t="shared" si="183"/>
        <v>0</v>
      </c>
      <c r="AD59" s="106">
        <f t="shared" si="135"/>
        <v>0</v>
      </c>
      <c r="AF59" s="26">
        <f t="shared" si="184"/>
        <v>76093.371725888312</v>
      </c>
      <c r="AG59" s="106">
        <f t="shared" si="136"/>
        <v>89521.613795162717</v>
      </c>
      <c r="AI59" s="36">
        <f t="shared" si="185"/>
        <v>24.867114943100756</v>
      </c>
      <c r="AJ59" s="20">
        <f t="shared" si="138"/>
        <v>2.3025106428796995</v>
      </c>
      <c r="AK59" s="20">
        <f t="shared" si="139"/>
        <v>2.3459542399151658</v>
      </c>
      <c r="AL59" s="20">
        <f t="shared" si="140"/>
        <v>2.891524993383809</v>
      </c>
      <c r="AN59" s="26">
        <f t="shared" si="186"/>
        <v>0</v>
      </c>
      <c r="AO59" s="107">
        <f t="shared" si="141"/>
        <v>0</v>
      </c>
      <c r="AP59" s="36">
        <f t="shared" si="187"/>
        <v>0</v>
      </c>
      <c r="AQ59" s="111">
        <f t="shared" si="154"/>
        <v>0.52</v>
      </c>
      <c r="AU59" s="26">
        <f t="shared" si="164"/>
        <v>12663.849365175947</v>
      </c>
      <c r="AV59" s="107">
        <f t="shared" si="143"/>
        <v>14898.646311971703</v>
      </c>
      <c r="AW59" s="36">
        <f t="shared" si="188"/>
        <v>4.1385128644365841</v>
      </c>
      <c r="AY59" s="20">
        <f t="shared" si="144"/>
        <v>24.867114943100756</v>
      </c>
      <c r="AZ59" s="20">
        <f t="shared" si="156"/>
        <v>4.6585128644365845</v>
      </c>
      <c r="BB59" s="20">
        <f t="shared" si="189"/>
        <v>6.6643868047510031</v>
      </c>
      <c r="BC59" s="20">
        <f t="shared" si="190"/>
        <v>0.94101959861619011</v>
      </c>
    </row>
    <row r="60" spans="2:55" x14ac:dyDescent="0.25">
      <c r="E60" s="10">
        <v>85</v>
      </c>
      <c r="F60" s="11">
        <v>0.85</v>
      </c>
      <c r="G60" s="20">
        <f t="shared" si="176"/>
        <v>850</v>
      </c>
      <c r="H60" s="20">
        <f t="shared" si="177"/>
        <v>12.944162436548224</v>
      </c>
      <c r="I60" s="20">
        <f t="shared" si="178"/>
        <v>159</v>
      </c>
      <c r="J60" s="20">
        <f t="shared" si="179"/>
        <v>2.4213197969543145</v>
      </c>
      <c r="K60" s="75">
        <f t="shared" si="145"/>
        <v>0</v>
      </c>
      <c r="L60" s="20">
        <f t="shared" ref="L60" si="196">T27</f>
        <v>0</v>
      </c>
      <c r="M60" s="111">
        <f t="shared" si="146"/>
        <v>11</v>
      </c>
      <c r="N60" s="20">
        <f t="shared" si="128"/>
        <v>50.443999999999996</v>
      </c>
      <c r="U60" s="26">
        <f t="shared" si="129"/>
        <v>0</v>
      </c>
      <c r="V60" s="26">
        <f t="shared" si="130"/>
        <v>33817.336294416244</v>
      </c>
      <c r="W60" s="106">
        <f t="shared" si="181"/>
        <v>33817.336294416244</v>
      </c>
      <c r="X60" s="26">
        <f t="shared" si="131"/>
        <v>28516.65</v>
      </c>
      <c r="Y60" s="26">
        <f t="shared" si="132"/>
        <v>6325.8311421319795</v>
      </c>
      <c r="Z60" s="106">
        <f t="shared" si="182"/>
        <v>34842.481142131983</v>
      </c>
      <c r="AA60" s="26">
        <f t="shared" si="133"/>
        <v>0</v>
      </c>
      <c r="AB60" s="26">
        <f t="shared" si="134"/>
        <v>0</v>
      </c>
      <c r="AC60" s="106">
        <f t="shared" si="183"/>
        <v>0</v>
      </c>
      <c r="AD60" s="106">
        <f t="shared" si="135"/>
        <v>0</v>
      </c>
      <c r="AF60" s="26">
        <f t="shared" si="184"/>
        <v>68659.817436548226</v>
      </c>
      <c r="AG60" s="106">
        <f t="shared" si="136"/>
        <v>80776.255807703797</v>
      </c>
      <c r="AI60" s="36">
        <f t="shared" si="185"/>
        <v>22.437848835473279</v>
      </c>
      <c r="AJ60" s="20">
        <f t="shared" si="138"/>
        <v>2.0775785958771551</v>
      </c>
      <c r="AK60" s="20">
        <f t="shared" si="139"/>
        <v>2.1167781920257811</v>
      </c>
      <c r="AL60" s="20">
        <f t="shared" si="140"/>
        <v>2.6090521901713117</v>
      </c>
      <c r="AN60" s="26">
        <f t="shared" si="186"/>
        <v>0</v>
      </c>
      <c r="AO60" s="107">
        <f t="shared" si="141"/>
        <v>0</v>
      </c>
      <c r="AP60" s="36">
        <f t="shared" si="187"/>
        <v>0</v>
      </c>
      <c r="AQ60" s="111">
        <f t="shared" si="154"/>
        <v>0.44</v>
      </c>
      <c r="AU60" s="26">
        <f t="shared" si="164"/>
        <v>12790.487858827706</v>
      </c>
      <c r="AV60" s="107">
        <f t="shared" si="143"/>
        <v>15047.632775091419</v>
      </c>
      <c r="AW60" s="36">
        <f t="shared" si="188"/>
        <v>4.1798979930809494</v>
      </c>
      <c r="AY60" s="20">
        <f t="shared" si="144"/>
        <v>22.437848835473279</v>
      </c>
      <c r="AZ60" s="20">
        <f t="shared" si="156"/>
        <v>4.6198979930809498</v>
      </c>
      <c r="BB60" s="20">
        <f t="shared" si="189"/>
        <v>6.0133434879068393</v>
      </c>
      <c r="BC60" s="20">
        <f t="shared" si="190"/>
        <v>0.93321939460235193</v>
      </c>
    </row>
    <row r="61" spans="2:55" x14ac:dyDescent="0.25">
      <c r="E61" s="10">
        <v>90</v>
      </c>
      <c r="F61" s="11">
        <v>0.9</v>
      </c>
      <c r="G61" s="20">
        <f t="shared" si="176"/>
        <v>900</v>
      </c>
      <c r="H61" s="20">
        <f t="shared" si="177"/>
        <v>13.705583756345177</v>
      </c>
      <c r="I61" s="20">
        <f t="shared" si="178"/>
        <v>116</v>
      </c>
      <c r="J61" s="20">
        <f t="shared" si="179"/>
        <v>1.766497461928934</v>
      </c>
      <c r="K61" s="75">
        <f t="shared" si="145"/>
        <v>0</v>
      </c>
      <c r="L61" s="20">
        <f t="shared" ref="L61" si="197">T28</f>
        <v>0</v>
      </c>
      <c r="M61" s="111">
        <f t="shared" si="146"/>
        <v>9</v>
      </c>
      <c r="N61" s="20">
        <f t="shared" si="128"/>
        <v>41.156000000000006</v>
      </c>
      <c r="U61" s="26">
        <f t="shared" si="129"/>
        <v>0</v>
      </c>
      <c r="V61" s="26">
        <f t="shared" si="130"/>
        <v>35806.591370558373</v>
      </c>
      <c r="W61" s="106">
        <f t="shared" si="181"/>
        <v>35806.591370558373</v>
      </c>
      <c r="X61" s="26">
        <f t="shared" si="131"/>
        <v>20804.599999999999</v>
      </c>
      <c r="Y61" s="26">
        <f t="shared" si="132"/>
        <v>4615.0717766497464</v>
      </c>
      <c r="Z61" s="106">
        <f t="shared" si="182"/>
        <v>25419.671776649746</v>
      </c>
      <c r="AA61" s="26">
        <f t="shared" si="133"/>
        <v>0</v>
      </c>
      <c r="AB61" s="26">
        <f t="shared" si="134"/>
        <v>0</v>
      </c>
      <c r="AC61" s="106">
        <f t="shared" si="183"/>
        <v>0</v>
      </c>
      <c r="AD61" s="106">
        <f t="shared" si="135"/>
        <v>0</v>
      </c>
      <c r="AF61" s="26">
        <f t="shared" si="184"/>
        <v>61226.263147208119</v>
      </c>
      <c r="AG61" s="106">
        <f t="shared" si="136"/>
        <v>72030.897820244849</v>
      </c>
      <c r="AI61" s="36">
        <f t="shared" si="185"/>
        <v>20.008582727845791</v>
      </c>
      <c r="AJ61" s="20">
        <f t="shared" si="138"/>
        <v>1.8526465488746102</v>
      </c>
      <c r="AK61" s="20">
        <f t="shared" si="139"/>
        <v>1.8876021441363955</v>
      </c>
      <c r="AL61" s="20">
        <f t="shared" si="140"/>
        <v>2.3265793869588132</v>
      </c>
      <c r="AN61" s="26">
        <f t="shared" si="186"/>
        <v>0</v>
      </c>
      <c r="AO61" s="107">
        <f t="shared" si="141"/>
        <v>0</v>
      </c>
      <c r="AP61" s="36">
        <f t="shared" si="187"/>
        <v>0</v>
      </c>
      <c r="AQ61" s="111">
        <f t="shared" si="154"/>
        <v>0.36</v>
      </c>
      <c r="AU61" s="26">
        <f t="shared" si="164"/>
        <v>12918.392737415983</v>
      </c>
      <c r="AV61" s="107">
        <f t="shared" si="143"/>
        <v>15198.109102842333</v>
      </c>
      <c r="AW61" s="36">
        <f t="shared" si="188"/>
        <v>4.2216969730117588</v>
      </c>
      <c r="AY61" s="20">
        <f t="shared" si="144"/>
        <v>20.008582727845791</v>
      </c>
      <c r="AZ61" s="20">
        <f t="shared" si="156"/>
        <v>4.5816969730117592</v>
      </c>
      <c r="BB61" s="20">
        <f t="shared" si="189"/>
        <v>5.3623001710626728</v>
      </c>
      <c r="BC61" s="20">
        <f t="shared" si="190"/>
        <v>0.92550278854837542</v>
      </c>
    </row>
    <row r="62" spans="2:55" x14ac:dyDescent="0.25">
      <c r="E62" s="10">
        <v>95</v>
      </c>
      <c r="F62" s="11">
        <v>0.95</v>
      </c>
      <c r="G62" s="20">
        <f t="shared" si="176"/>
        <v>950</v>
      </c>
      <c r="H62" s="20">
        <f t="shared" si="177"/>
        <v>14.467005076142133</v>
      </c>
      <c r="I62" s="20">
        <f t="shared" si="178"/>
        <v>73</v>
      </c>
      <c r="J62" s="20">
        <f t="shared" si="179"/>
        <v>1.1116751269035532</v>
      </c>
      <c r="K62" s="75">
        <f t="shared" si="145"/>
        <v>0</v>
      </c>
      <c r="L62" s="20">
        <f t="shared" ref="L62" si="198">T29</f>
        <v>0</v>
      </c>
      <c r="M62" s="111">
        <f t="shared" si="146"/>
        <v>7</v>
      </c>
      <c r="N62" s="20">
        <f t="shared" si="128"/>
        <v>31.867999999999999</v>
      </c>
      <c r="U62" s="26">
        <f t="shared" si="129"/>
        <v>0</v>
      </c>
      <c r="V62" s="26">
        <f t="shared" si="130"/>
        <v>37795.846446700511</v>
      </c>
      <c r="W62" s="106">
        <f t="shared" si="181"/>
        <v>37795.846446700511</v>
      </c>
      <c r="X62" s="26">
        <f t="shared" si="131"/>
        <v>13092.55</v>
      </c>
      <c r="Y62" s="26">
        <f t="shared" si="132"/>
        <v>2904.3124111675124</v>
      </c>
      <c r="Z62" s="106">
        <f t="shared" si="182"/>
        <v>15996.862411167513</v>
      </c>
      <c r="AA62" s="26">
        <f t="shared" si="133"/>
        <v>0</v>
      </c>
      <c r="AB62" s="26">
        <f t="shared" si="134"/>
        <v>0</v>
      </c>
      <c r="AC62" s="106">
        <f t="shared" si="183"/>
        <v>0</v>
      </c>
      <c r="AD62" s="106">
        <f t="shared" si="135"/>
        <v>0</v>
      </c>
      <c r="AF62" s="26">
        <f t="shared" si="184"/>
        <v>53792.708857868027</v>
      </c>
      <c r="AG62" s="106">
        <f t="shared" si="136"/>
        <v>63285.539832785915</v>
      </c>
      <c r="AI62" s="36">
        <f t="shared" si="185"/>
        <v>17.579316620218311</v>
      </c>
      <c r="AJ62" s="20">
        <f t="shared" si="138"/>
        <v>1.6277145018720658</v>
      </c>
      <c r="AK62" s="20">
        <f t="shared" si="139"/>
        <v>1.6584260962470105</v>
      </c>
      <c r="AL62" s="20">
        <f t="shared" si="140"/>
        <v>2.0441065837463155</v>
      </c>
      <c r="AN62" s="26">
        <f t="shared" si="186"/>
        <v>0</v>
      </c>
      <c r="AO62" s="107">
        <f t="shared" si="141"/>
        <v>0</v>
      </c>
      <c r="AP62" s="36">
        <f t="shared" si="187"/>
        <v>0</v>
      </c>
      <c r="AQ62" s="111">
        <f t="shared" si="154"/>
        <v>0.28000000000000003</v>
      </c>
      <c r="AU62" s="26">
        <f t="shared" si="164"/>
        <v>13047.576664790144</v>
      </c>
      <c r="AV62" s="107">
        <f t="shared" si="143"/>
        <v>15350.090193870758</v>
      </c>
      <c r="AW62" s="36">
        <f t="shared" si="188"/>
        <v>4.2639139427418771</v>
      </c>
      <c r="AY62" s="20">
        <f t="shared" si="144"/>
        <v>17.579316620218311</v>
      </c>
      <c r="AZ62" s="20">
        <f t="shared" si="156"/>
        <v>4.5439139427418773</v>
      </c>
      <c r="BB62" s="20">
        <f t="shared" si="189"/>
        <v>4.711256854218508</v>
      </c>
      <c r="BC62" s="20">
        <f t="shared" si="190"/>
        <v>0.91787061643385925</v>
      </c>
    </row>
    <row r="63" spans="2:55" x14ac:dyDescent="0.25">
      <c r="E63" s="10">
        <v>100</v>
      </c>
      <c r="F63" s="11">
        <v>1</v>
      </c>
      <c r="G63" s="20">
        <f t="shared" si="176"/>
        <v>1000</v>
      </c>
      <c r="H63" s="20">
        <f t="shared" si="177"/>
        <v>15.228426395939087</v>
      </c>
      <c r="I63" s="20">
        <f t="shared" si="178"/>
        <v>30</v>
      </c>
      <c r="J63" s="20">
        <f t="shared" si="179"/>
        <v>0.45685279187817257</v>
      </c>
      <c r="K63" s="75">
        <f t="shared" si="145"/>
        <v>0</v>
      </c>
      <c r="L63" s="20">
        <f t="shared" ref="L63" si="199">T30</f>
        <v>0</v>
      </c>
      <c r="M63" s="111">
        <f t="shared" si="146"/>
        <v>5</v>
      </c>
      <c r="N63" s="20">
        <f t="shared" si="128"/>
        <v>22.58</v>
      </c>
      <c r="U63" s="26">
        <f t="shared" si="129"/>
        <v>0</v>
      </c>
      <c r="V63" s="26">
        <f t="shared" si="130"/>
        <v>39785.10152284264</v>
      </c>
      <c r="W63" s="106">
        <f t="shared" si="181"/>
        <v>39785.10152284264</v>
      </c>
      <c r="X63" s="26">
        <f t="shared" si="131"/>
        <v>5380.5</v>
      </c>
      <c r="Y63" s="26">
        <f t="shared" si="132"/>
        <v>1193.5530456852794</v>
      </c>
      <c r="Z63" s="106">
        <f t="shared" si="182"/>
        <v>6574.0530456852794</v>
      </c>
      <c r="AA63" s="26">
        <f t="shared" si="133"/>
        <v>0</v>
      </c>
      <c r="AB63" s="26">
        <f t="shared" si="134"/>
        <v>0</v>
      </c>
      <c r="AC63" s="106">
        <f t="shared" si="183"/>
        <v>0</v>
      </c>
      <c r="AD63" s="106">
        <f t="shared" si="135"/>
        <v>0</v>
      </c>
      <c r="AF63" s="26">
        <f t="shared" si="184"/>
        <v>46359.15456852792</v>
      </c>
      <c r="AG63" s="106">
        <f t="shared" si="136"/>
        <v>54540.181845326966</v>
      </c>
      <c r="AI63" s="36">
        <f t="shared" si="185"/>
        <v>15.150050512590823</v>
      </c>
      <c r="AJ63" s="20">
        <f t="shared" si="138"/>
        <v>1.4027824548695207</v>
      </c>
      <c r="AK63" s="20">
        <f t="shared" si="139"/>
        <v>1.4292500483576249</v>
      </c>
      <c r="AL63" s="20">
        <f t="shared" si="140"/>
        <v>1.7616337805338167</v>
      </c>
      <c r="AN63" s="26">
        <f t="shared" si="186"/>
        <v>0</v>
      </c>
      <c r="AO63" s="107">
        <f t="shared" si="141"/>
        <v>0</v>
      </c>
      <c r="AP63" s="36">
        <f t="shared" si="187"/>
        <v>0</v>
      </c>
      <c r="AQ63" s="111">
        <f t="shared" si="154"/>
        <v>0.2</v>
      </c>
      <c r="AU63" s="26">
        <f t="shared" si="164"/>
        <v>13178.052431438045</v>
      </c>
      <c r="AV63" s="107">
        <f t="shared" si="143"/>
        <v>15503.591095809466</v>
      </c>
      <c r="AW63" s="36">
        <f t="shared" si="188"/>
        <v>4.3065530821692963</v>
      </c>
      <c r="AY63" s="20">
        <f t="shared" si="144"/>
        <v>15.150050512590823</v>
      </c>
      <c r="AZ63" s="20">
        <f>AQ63+AW63</f>
        <v>4.5065530821692965</v>
      </c>
      <c r="BB63" s="20">
        <f>AY63*$C$20</f>
        <v>4.0602135373743407</v>
      </c>
      <c r="BC63" s="20">
        <f>AZ63*$C$9</f>
        <v>0.91032372259819794</v>
      </c>
    </row>
    <row r="65" spans="2:55" x14ac:dyDescent="0.25">
      <c r="C65" s="10" t="s">
        <v>35</v>
      </c>
      <c r="D65" s="74" t="s">
        <v>310</v>
      </c>
      <c r="E65" s="10" t="s">
        <v>36</v>
      </c>
      <c r="J65" s="104" t="s">
        <v>308</v>
      </c>
      <c r="K65" s="120" t="s">
        <v>427</v>
      </c>
    </row>
    <row r="66" spans="2:55" x14ac:dyDescent="0.25">
      <c r="B66" s="12" t="s">
        <v>37</v>
      </c>
      <c r="C66" s="10">
        <v>0.34499999999999997</v>
      </c>
      <c r="D66" s="124">
        <v>0.20200000000000001</v>
      </c>
      <c r="E66" s="10">
        <v>0.34499999999999997</v>
      </c>
      <c r="F66" s="10" t="s">
        <v>11</v>
      </c>
      <c r="J66" s="66">
        <v>0.34499999999999997</v>
      </c>
      <c r="K66" s="66">
        <f>D66</f>
        <v>0.20200000000000001</v>
      </c>
    </row>
    <row r="67" spans="2:55" x14ac:dyDescent="0.25">
      <c r="B67" s="2" t="s">
        <v>162</v>
      </c>
      <c r="C67" s="8"/>
      <c r="D67" s="125">
        <v>0.06</v>
      </c>
      <c r="E67" s="8"/>
      <c r="J67" s="123">
        <v>0.06</v>
      </c>
      <c r="K67" s="66">
        <f t="shared" ref="K67:K80" si="200">D67</f>
        <v>0.06</v>
      </c>
    </row>
    <row r="68" spans="2:55" x14ac:dyDescent="0.25">
      <c r="B68" s="12" t="s">
        <v>15</v>
      </c>
      <c r="C68" s="10">
        <v>1.8E-3</v>
      </c>
      <c r="D68" s="124">
        <v>2.4599999999999999E-3</v>
      </c>
      <c r="E68" s="10">
        <v>2.3999999999999998E-3</v>
      </c>
      <c r="F68" s="52" t="s">
        <v>159</v>
      </c>
      <c r="J68" s="66">
        <v>1E-3</v>
      </c>
      <c r="K68" s="66">
        <f t="shared" si="200"/>
        <v>2.4599999999999999E-3</v>
      </c>
      <c r="L68" s="10">
        <f t="shared" ref="L68:L80" si="201">D68*1000</f>
        <v>2.46</v>
      </c>
      <c r="Z68" s="32" t="s">
        <v>148</v>
      </c>
    </row>
    <row r="69" spans="2:55" x14ac:dyDescent="0.25">
      <c r="B69" s="12" t="s">
        <v>16</v>
      </c>
      <c r="C69" s="10">
        <v>2.3600000000000001E-3</v>
      </c>
      <c r="D69" s="124">
        <v>2.5100000000000001E-3</v>
      </c>
      <c r="E69" s="10">
        <v>3.2200000000000002E-3</v>
      </c>
      <c r="F69" s="52" t="s">
        <v>159</v>
      </c>
      <c r="J69" s="66">
        <v>2.7899999999999999E-3</v>
      </c>
      <c r="K69" s="66">
        <f t="shared" si="200"/>
        <v>2.5100000000000001E-3</v>
      </c>
      <c r="L69" s="10">
        <f t="shared" si="201"/>
        <v>2.5100000000000002</v>
      </c>
      <c r="Z69" s="34" t="s">
        <v>31</v>
      </c>
      <c r="AA69" s="41" t="s">
        <v>147</v>
      </c>
      <c r="AB69" s="41" t="s">
        <v>149</v>
      </c>
      <c r="AC69" s="41" t="s">
        <v>150</v>
      </c>
      <c r="AD69" s="41" t="s">
        <v>151</v>
      </c>
    </row>
    <row r="70" spans="2:55" x14ac:dyDescent="0.25">
      <c r="B70" s="12" t="s">
        <v>17</v>
      </c>
      <c r="C70" s="10">
        <v>0.15640000000000001</v>
      </c>
      <c r="D70" s="124">
        <v>0.36499999999999999</v>
      </c>
      <c r="E70" s="10">
        <v>0.32100000000000001</v>
      </c>
      <c r="F70" s="10" t="s">
        <v>18</v>
      </c>
      <c r="J70" s="66">
        <v>0.23870000000000002</v>
      </c>
      <c r="K70" s="66">
        <f t="shared" si="200"/>
        <v>0.36499999999999999</v>
      </c>
      <c r="L70" s="10">
        <f t="shared" si="201"/>
        <v>365</v>
      </c>
      <c r="Z70" s="19">
        <v>10</v>
      </c>
      <c r="AA70" s="42">
        <v>195</v>
      </c>
      <c r="AB70" s="42">
        <v>200</v>
      </c>
      <c r="AC70" s="42">
        <v>205</v>
      </c>
      <c r="AD70" s="42">
        <v>210</v>
      </c>
    </row>
    <row r="71" spans="2:55" x14ac:dyDescent="0.25">
      <c r="B71" s="12" t="s">
        <v>43</v>
      </c>
      <c r="C71" s="10">
        <v>0.30640000000000001</v>
      </c>
      <c r="D71" s="124">
        <f>D70*1.5</f>
        <v>0.54749999999999999</v>
      </c>
      <c r="E71" s="10">
        <v>0.47099999999999997</v>
      </c>
      <c r="F71" s="109" t="s">
        <v>419</v>
      </c>
      <c r="J71" s="66">
        <v>0.38869999999999999</v>
      </c>
      <c r="K71" s="66">
        <f t="shared" si="200"/>
        <v>0.54749999999999999</v>
      </c>
      <c r="L71" s="10">
        <f t="shared" si="201"/>
        <v>547.5</v>
      </c>
      <c r="Z71" s="19">
        <v>15</v>
      </c>
      <c r="AA71" s="42">
        <v>210</v>
      </c>
      <c r="AB71" s="42">
        <v>220</v>
      </c>
      <c r="AC71" s="42">
        <v>225</v>
      </c>
      <c r="AD71" s="42">
        <v>230</v>
      </c>
    </row>
    <row r="72" spans="2:55" x14ac:dyDescent="0.25">
      <c r="B72" s="12" t="s">
        <v>19</v>
      </c>
      <c r="C72" s="10">
        <v>7.0800000000000004E-3</v>
      </c>
      <c r="D72" s="126">
        <v>8.3700000000000007E-3</v>
      </c>
      <c r="E72" s="10">
        <v>9.6600000000000002E-3</v>
      </c>
      <c r="F72" s="52" t="s">
        <v>159</v>
      </c>
      <c r="J72" s="66">
        <v>8.3700000000000007E-3</v>
      </c>
      <c r="K72" s="66">
        <f t="shared" si="200"/>
        <v>8.3700000000000007E-3</v>
      </c>
      <c r="L72" s="10">
        <f t="shared" si="201"/>
        <v>8.370000000000001</v>
      </c>
      <c r="Z72" s="19">
        <v>20</v>
      </c>
      <c r="AA72" s="42">
        <v>230</v>
      </c>
      <c r="AB72" s="42">
        <v>240</v>
      </c>
      <c r="AC72" s="42">
        <v>245</v>
      </c>
      <c r="AD72" s="42">
        <v>255</v>
      </c>
    </row>
    <row r="73" spans="2:55" x14ac:dyDescent="0.25">
      <c r="B73" s="120" t="s">
        <v>420</v>
      </c>
      <c r="C73" s="10">
        <v>9.1240000000000002E-2</v>
      </c>
      <c r="D73" s="124">
        <f>T327</f>
        <v>7.5359999999999996E-2</v>
      </c>
      <c r="E73" s="10">
        <v>9.1240000000000002E-2</v>
      </c>
      <c r="F73" s="10" t="s">
        <v>21</v>
      </c>
      <c r="J73" s="66">
        <v>9.1240000000000002E-2</v>
      </c>
      <c r="K73" s="66">
        <f t="shared" si="200"/>
        <v>7.5359999999999996E-2</v>
      </c>
      <c r="L73" s="10">
        <f t="shared" si="201"/>
        <v>75.36</v>
      </c>
      <c r="Z73" s="19">
        <v>25</v>
      </c>
      <c r="AA73" s="42">
        <v>255</v>
      </c>
      <c r="AB73" s="42">
        <v>265</v>
      </c>
      <c r="AC73" s="42">
        <v>270</v>
      </c>
      <c r="AD73" s="42">
        <v>280</v>
      </c>
    </row>
    <row r="74" spans="2:55" x14ac:dyDescent="0.25">
      <c r="B74" s="12" t="s">
        <v>41</v>
      </c>
      <c r="C74" s="27">
        <f>IF(Eingabemaske!$H$24="Erdgas",C75,IF(Eingabemaske!$H$24="Heizöl",C77,IF(Eingabemaske!$H$24="Flüssiggas",C76,IF(Eingabemaske!$H$24="Braunkohle",C80,C78))))</f>
        <v>0.26</v>
      </c>
      <c r="D74" s="127">
        <f>IF(Eingabemaske!$H$24="Erdgas",D75,IF(Eingabemaske!$H$24="Heizöl",D77,IF(Eingabemaske!$H$24="Flüssiggas",D76,IF(Eingabemaske!$H$24="Braunkohle",D80,D78))))</f>
        <v>0.26800000000000002</v>
      </c>
      <c r="E74" s="27">
        <f>IF(Eingabemaske!$H$24="Erdgas",E75,IF(Eingabemaske!$H$24="Heizöl",E77,IF(Eingabemaske!$H$24="Flüssiggas",E76,IF(Eingabemaske!$H$24="Braunkohle",E80,E78))))</f>
        <v>0.26</v>
      </c>
      <c r="F74" s="10" t="s">
        <v>23</v>
      </c>
      <c r="J74" s="122">
        <f>IF(Eingabemaske!$H$24="Erdgas",J75,IF(Eingabemaske!$H$24="Heizöl",J77,IF(Eingabemaske!$H$24="Flüssiggas",J76,IF(Eingabemaske!$H$24="Braunkohle",J80,J78))))</f>
        <v>0.26</v>
      </c>
      <c r="K74" s="66">
        <f t="shared" si="200"/>
        <v>0.26800000000000002</v>
      </c>
      <c r="L74" s="10">
        <f t="shared" si="201"/>
        <v>268</v>
      </c>
      <c r="Z74" s="19">
        <v>30</v>
      </c>
      <c r="AA74" s="44">
        <v>275</v>
      </c>
      <c r="AB74" s="44">
        <v>290</v>
      </c>
      <c r="AC74" s="44">
        <v>305</v>
      </c>
      <c r="AD74" s="44">
        <v>315</v>
      </c>
    </row>
    <row r="75" spans="2:55" x14ac:dyDescent="0.25">
      <c r="B75" s="12" t="s">
        <v>22</v>
      </c>
      <c r="C75" s="10">
        <v>0.26</v>
      </c>
      <c r="D75" s="124">
        <v>0.26800000000000002</v>
      </c>
      <c r="E75" s="10">
        <v>0.26</v>
      </c>
      <c r="F75" s="10" t="s">
        <v>23</v>
      </c>
      <c r="J75" s="66">
        <v>0.26</v>
      </c>
      <c r="K75" s="66">
        <f t="shared" si="200"/>
        <v>0.26800000000000002</v>
      </c>
      <c r="L75" s="10">
        <f t="shared" si="201"/>
        <v>268</v>
      </c>
      <c r="Z75" s="19">
        <v>35</v>
      </c>
      <c r="AA75" s="10">
        <v>305</v>
      </c>
      <c r="AB75" s="10">
        <v>320</v>
      </c>
      <c r="AC75" s="10">
        <v>335</v>
      </c>
      <c r="AD75" s="10">
        <v>355</v>
      </c>
      <c r="BB75" s="30"/>
      <c r="BC75" s="30"/>
    </row>
    <row r="76" spans="2:55" x14ac:dyDescent="0.25">
      <c r="B76" s="69" t="s">
        <v>208</v>
      </c>
      <c r="C76" s="10">
        <v>0.31</v>
      </c>
      <c r="D76" s="124">
        <v>0.312</v>
      </c>
      <c r="E76" s="10">
        <v>0.31</v>
      </c>
      <c r="F76" s="10" t="s">
        <v>23</v>
      </c>
      <c r="J76" s="66">
        <v>0.31</v>
      </c>
      <c r="K76" s="66">
        <f t="shared" si="200"/>
        <v>0.312</v>
      </c>
      <c r="L76" s="10">
        <f t="shared" si="201"/>
        <v>312</v>
      </c>
      <c r="Z76" s="19">
        <v>40</v>
      </c>
      <c r="AA76" s="10">
        <v>335</v>
      </c>
      <c r="AB76" s="10">
        <v>360</v>
      </c>
      <c r="AC76" s="10">
        <v>375</v>
      </c>
      <c r="AD76" s="10">
        <v>400</v>
      </c>
    </row>
    <row r="77" spans="2:55" x14ac:dyDescent="0.25">
      <c r="B77" s="12" t="s">
        <v>38</v>
      </c>
      <c r="C77" s="10">
        <v>0.33</v>
      </c>
      <c r="D77" s="124">
        <v>0.33200000000000002</v>
      </c>
      <c r="E77" s="10">
        <v>0.33</v>
      </c>
      <c r="F77" s="10" t="s">
        <v>23</v>
      </c>
      <c r="J77" s="66">
        <v>0.33</v>
      </c>
      <c r="K77" s="66">
        <f t="shared" si="200"/>
        <v>0.33200000000000002</v>
      </c>
      <c r="L77" s="10">
        <f t="shared" si="201"/>
        <v>332</v>
      </c>
    </row>
    <row r="78" spans="2:55" x14ac:dyDescent="0.25">
      <c r="B78" s="12" t="s">
        <v>39</v>
      </c>
      <c r="C78" s="10">
        <v>0.38</v>
      </c>
      <c r="D78" s="126">
        <v>0.38</v>
      </c>
      <c r="E78" s="10">
        <v>0.38</v>
      </c>
      <c r="F78" s="10" t="s">
        <v>23</v>
      </c>
      <c r="J78" s="66">
        <v>0.38</v>
      </c>
      <c r="K78" s="66">
        <f t="shared" si="200"/>
        <v>0.38</v>
      </c>
      <c r="L78" s="10">
        <f t="shared" si="201"/>
        <v>380</v>
      </c>
      <c r="Z78" s="32" t="s">
        <v>158</v>
      </c>
      <c r="AF78" s="169" t="str">
        <f t="shared" ref="AF78:AG83" si="202">Z78</f>
        <v>170°C Mischguttemperatur</v>
      </c>
      <c r="AG78" s="169"/>
      <c r="AH78" s="169"/>
    </row>
    <row r="79" spans="2:55" x14ac:dyDescent="0.25">
      <c r="B79" s="121" t="s">
        <v>179</v>
      </c>
      <c r="C79" s="10">
        <v>0.32</v>
      </c>
      <c r="D79" s="124">
        <v>0.32100000000000001</v>
      </c>
      <c r="E79" s="10">
        <v>0.32</v>
      </c>
      <c r="F79" s="10" t="s">
        <v>23</v>
      </c>
      <c r="J79" s="66">
        <v>0.32</v>
      </c>
      <c r="K79" s="66">
        <f t="shared" si="200"/>
        <v>0.32100000000000001</v>
      </c>
      <c r="L79" s="10">
        <f t="shared" si="201"/>
        <v>321</v>
      </c>
      <c r="Z79" s="34" t="s">
        <v>31</v>
      </c>
      <c r="AA79" s="41">
        <v>0.03</v>
      </c>
      <c r="AB79" s="41">
        <v>0.04</v>
      </c>
      <c r="AC79" s="41">
        <v>0.05</v>
      </c>
      <c r="AD79" s="41">
        <v>0.06</v>
      </c>
      <c r="AF79" s="34" t="s">
        <v>30</v>
      </c>
      <c r="AG79" s="46">
        <f t="shared" si="202"/>
        <v>0.03</v>
      </c>
      <c r="AH79" s="46">
        <f>AD79</f>
        <v>0.06</v>
      </c>
      <c r="AI79" s="11"/>
    </row>
    <row r="80" spans="2:55" x14ac:dyDescent="0.25">
      <c r="B80" s="121" t="s">
        <v>261</v>
      </c>
      <c r="C80" s="10">
        <v>0.41</v>
      </c>
      <c r="D80" s="126">
        <v>0.41</v>
      </c>
      <c r="E80" s="10">
        <v>0.41</v>
      </c>
      <c r="F80" s="10" t="s">
        <v>23</v>
      </c>
      <c r="J80" s="66">
        <v>0.41</v>
      </c>
      <c r="K80" s="66">
        <f t="shared" si="200"/>
        <v>0.41</v>
      </c>
      <c r="L80" s="10">
        <f t="shared" si="201"/>
        <v>410</v>
      </c>
      <c r="Z80" s="19">
        <v>10</v>
      </c>
      <c r="AA80" s="45">
        <f t="shared" ref="AA80:AD83" si="203">AVERAGE(AA70,AA86)</f>
        <v>198.5</v>
      </c>
      <c r="AB80" s="45">
        <f t="shared" si="203"/>
        <v>203</v>
      </c>
      <c r="AC80" s="45">
        <f t="shared" si="203"/>
        <v>207.5</v>
      </c>
      <c r="AD80" s="45">
        <f t="shared" si="203"/>
        <v>212</v>
      </c>
      <c r="AF80" s="18" t="str">
        <f>Z80&amp;$Z$79</f>
        <v>10% RAP</v>
      </c>
      <c r="AG80" s="12">
        <f t="shared" si="202"/>
        <v>198.5</v>
      </c>
      <c r="AH80" s="12">
        <f>AD80</f>
        <v>212</v>
      </c>
    </row>
    <row r="81" spans="2:55" x14ac:dyDescent="0.25">
      <c r="B81" s="104" t="s">
        <v>321</v>
      </c>
      <c r="D81" s="126">
        <f>774/1000</f>
        <v>0.77400000000000002</v>
      </c>
      <c r="Z81" s="19">
        <v>15</v>
      </c>
      <c r="AA81" s="45">
        <f t="shared" si="203"/>
        <v>215</v>
      </c>
      <c r="AB81" s="45">
        <f t="shared" si="203"/>
        <v>223</v>
      </c>
      <c r="AC81" s="45">
        <f t="shared" si="203"/>
        <v>228.5</v>
      </c>
      <c r="AD81" s="45">
        <f t="shared" si="203"/>
        <v>234</v>
      </c>
      <c r="AF81" s="18" t="str">
        <f t="shared" ref="AF81:AF83" si="204">Z81&amp;$Z$79</f>
        <v>15% RAP</v>
      </c>
      <c r="AG81" s="12">
        <f t="shared" si="202"/>
        <v>215</v>
      </c>
      <c r="AH81" s="12">
        <f>AD81</f>
        <v>234</v>
      </c>
      <c r="AJ81" s="32" t="s">
        <v>156</v>
      </c>
    </row>
    <row r="82" spans="2:55" x14ac:dyDescent="0.25">
      <c r="B82" s="120" t="s">
        <v>421</v>
      </c>
      <c r="D82" s="126">
        <f>L328</f>
        <v>2.1642857142857144E-2</v>
      </c>
      <c r="F82" s="10" t="s">
        <v>21</v>
      </c>
      <c r="Z82" s="19">
        <v>20</v>
      </c>
      <c r="AA82" s="45">
        <f t="shared" si="203"/>
        <v>234.5</v>
      </c>
      <c r="AB82" s="45">
        <f t="shared" si="203"/>
        <v>243.5</v>
      </c>
      <c r="AC82" s="45">
        <f t="shared" si="203"/>
        <v>250</v>
      </c>
      <c r="AD82" s="45">
        <f t="shared" si="203"/>
        <v>259</v>
      </c>
      <c r="AF82" s="18" t="str">
        <f t="shared" si="204"/>
        <v>20% RAP</v>
      </c>
      <c r="AG82" s="12">
        <f t="shared" si="202"/>
        <v>234.5</v>
      </c>
      <c r="AH82" s="12">
        <f>AD82</f>
        <v>259</v>
      </c>
      <c r="AJ82" s="32" t="s">
        <v>157</v>
      </c>
    </row>
    <row r="83" spans="2:55" x14ac:dyDescent="0.25">
      <c r="B83" s="120" t="s">
        <v>422</v>
      </c>
      <c r="D83" s="126">
        <f>F362</f>
        <v>3.4091428571428571E-2</v>
      </c>
      <c r="F83" s="10" t="s">
        <v>21</v>
      </c>
      <c r="Z83" s="19">
        <v>25</v>
      </c>
      <c r="AA83" s="45">
        <f t="shared" si="203"/>
        <v>256.5</v>
      </c>
      <c r="AB83" s="45">
        <f t="shared" si="203"/>
        <v>266.5</v>
      </c>
      <c r="AC83" s="45">
        <f t="shared" si="203"/>
        <v>274</v>
      </c>
      <c r="AD83" s="45">
        <f t="shared" si="203"/>
        <v>284</v>
      </c>
      <c r="AF83" s="18" t="str">
        <f t="shared" si="204"/>
        <v>25% RAP</v>
      </c>
      <c r="AG83" s="12">
        <f t="shared" si="202"/>
        <v>256.5</v>
      </c>
      <c r="AH83" s="12">
        <f>AD83</f>
        <v>284</v>
      </c>
      <c r="AJ83" s="32" t="s">
        <v>155</v>
      </c>
    </row>
    <row r="84" spans="2:55" x14ac:dyDescent="0.25">
      <c r="B84" s="120" t="s">
        <v>423</v>
      </c>
      <c r="D84" s="126">
        <f>F355</f>
        <v>7.6760000000000005E-3</v>
      </c>
      <c r="F84" s="10" t="s">
        <v>21</v>
      </c>
      <c r="AA84" s="44"/>
      <c r="AB84" s="44"/>
      <c r="AC84" s="44"/>
      <c r="AD84" s="44"/>
      <c r="BB84" s="20"/>
      <c r="BC84" s="20"/>
    </row>
    <row r="85" spans="2:55" x14ac:dyDescent="0.25">
      <c r="W85" s="34" t="s">
        <v>31</v>
      </c>
      <c r="X85" s="32" t="s">
        <v>152</v>
      </c>
      <c r="Y85" s="32" t="s">
        <v>153</v>
      </c>
      <c r="Z85" s="32" t="s">
        <v>154</v>
      </c>
      <c r="AA85" s="32" t="s">
        <v>147</v>
      </c>
      <c r="AB85" s="32" t="s">
        <v>149</v>
      </c>
      <c r="AC85" s="32" t="s">
        <v>150</v>
      </c>
      <c r="AD85" s="32" t="s">
        <v>151</v>
      </c>
      <c r="BB85" s="20"/>
      <c r="BC85" s="20"/>
    </row>
    <row r="86" spans="2:55" x14ac:dyDescent="0.25">
      <c r="B86" s="10" t="s">
        <v>57</v>
      </c>
      <c r="D86" s="10" t="s">
        <v>58</v>
      </c>
      <c r="W86" s="19">
        <v>10</v>
      </c>
      <c r="X86" s="10">
        <v>190</v>
      </c>
      <c r="Y86" s="10">
        <v>194</v>
      </c>
      <c r="Z86" s="10">
        <v>198</v>
      </c>
      <c r="AA86" s="42">
        <v>202</v>
      </c>
      <c r="AB86" s="42">
        <v>206</v>
      </c>
      <c r="AC86" s="42">
        <v>210</v>
      </c>
      <c r="AD86" s="42">
        <v>214</v>
      </c>
      <c r="BB86" s="20"/>
      <c r="BC86" s="20"/>
    </row>
    <row r="87" spans="2:55" x14ac:dyDescent="0.25">
      <c r="B87" s="10" t="s">
        <v>59</v>
      </c>
      <c r="C87" s="10" t="s">
        <v>60</v>
      </c>
      <c r="D87" s="10">
        <v>9.1240000000000002E-2</v>
      </c>
      <c r="E87" s="10" t="s">
        <v>61</v>
      </c>
      <c r="F87" s="10" t="s">
        <v>62</v>
      </c>
      <c r="G87" s="10" t="s">
        <v>66</v>
      </c>
      <c r="H87" s="10">
        <v>9.1240000000000002E-2</v>
      </c>
      <c r="I87" s="10" t="s">
        <v>61</v>
      </c>
      <c r="W87" s="19">
        <v>15</v>
      </c>
      <c r="X87" s="10">
        <v>202</v>
      </c>
      <c r="Y87" s="10">
        <v>208</v>
      </c>
      <c r="Z87" s="10">
        <v>214</v>
      </c>
      <c r="AA87" s="42">
        <v>220</v>
      </c>
      <c r="AB87" s="42">
        <v>226</v>
      </c>
      <c r="AC87" s="43">
        <v>232</v>
      </c>
      <c r="AD87" s="43">
        <v>238</v>
      </c>
      <c r="BB87" s="20"/>
      <c r="BC87" s="20"/>
    </row>
    <row r="88" spans="2:55" x14ac:dyDescent="0.25">
      <c r="C88" s="10" t="s">
        <v>63</v>
      </c>
      <c r="D88" s="10">
        <v>8.9789999999999995E-2</v>
      </c>
      <c r="E88" s="10" t="s">
        <v>61</v>
      </c>
      <c r="F88" s="10" t="s">
        <v>62</v>
      </c>
      <c r="G88" s="10" t="s">
        <v>67</v>
      </c>
      <c r="H88" s="10">
        <v>0</v>
      </c>
      <c r="I88" s="10" t="s">
        <v>61</v>
      </c>
      <c r="W88" s="19">
        <v>20</v>
      </c>
      <c r="X88" s="10">
        <v>215</v>
      </c>
      <c r="Y88" s="10">
        <v>223</v>
      </c>
      <c r="Z88" s="10">
        <v>231</v>
      </c>
      <c r="AA88" s="42">
        <v>239</v>
      </c>
      <c r="AB88" s="43">
        <v>247</v>
      </c>
      <c r="AC88" s="43">
        <v>255</v>
      </c>
      <c r="AD88" s="43">
        <v>263</v>
      </c>
      <c r="BB88" s="20"/>
      <c r="BC88" s="20"/>
    </row>
    <row r="89" spans="2:55" x14ac:dyDescent="0.25">
      <c r="C89" s="10" t="s">
        <v>64</v>
      </c>
      <c r="D89" s="10">
        <v>9.0459999999999999E-2</v>
      </c>
      <c r="E89" s="10" t="s">
        <v>61</v>
      </c>
      <c r="F89" s="10" t="s">
        <v>62</v>
      </c>
      <c r="G89" s="10" t="s">
        <v>68</v>
      </c>
      <c r="H89" s="10">
        <v>0</v>
      </c>
      <c r="I89" s="10" t="s">
        <v>61</v>
      </c>
      <c r="W89" s="19">
        <v>25</v>
      </c>
      <c r="X89" s="10">
        <v>228</v>
      </c>
      <c r="Y89" s="10">
        <v>238</v>
      </c>
      <c r="Z89" s="10">
        <v>248</v>
      </c>
      <c r="AA89" s="43">
        <v>258</v>
      </c>
      <c r="AB89" s="43">
        <v>268</v>
      </c>
      <c r="AC89" s="43">
        <v>278</v>
      </c>
      <c r="AD89" s="43">
        <v>288</v>
      </c>
      <c r="BB89" s="20"/>
      <c r="BC89" s="20"/>
    </row>
    <row r="90" spans="2:55" x14ac:dyDescent="0.25">
      <c r="C90" s="10" t="s">
        <v>65</v>
      </c>
      <c r="D90" s="10">
        <v>8.6599999999999996E-2</v>
      </c>
      <c r="E90" s="10" t="s">
        <v>61</v>
      </c>
      <c r="F90" s="10" t="s">
        <v>62</v>
      </c>
      <c r="G90" s="10" t="s">
        <v>69</v>
      </c>
      <c r="H90" s="10">
        <v>0</v>
      </c>
      <c r="I90" s="10" t="s">
        <v>61</v>
      </c>
      <c r="W90" s="19">
        <v>30</v>
      </c>
      <c r="X90" s="10">
        <v>244</v>
      </c>
      <c r="Y90" s="10">
        <v>256</v>
      </c>
      <c r="Z90" s="10">
        <v>268</v>
      </c>
      <c r="AA90" s="19"/>
      <c r="AB90" s="19"/>
      <c r="AC90" s="19"/>
      <c r="AD90" s="19"/>
    </row>
    <row r="91" spans="2:55" x14ac:dyDescent="0.25">
      <c r="G91" s="10" t="s">
        <v>7</v>
      </c>
      <c r="H91" s="10">
        <v>9.1240000000000002E-2</v>
      </c>
      <c r="I91" s="10" t="s">
        <v>61</v>
      </c>
      <c r="BB91" s="20"/>
      <c r="BC91" s="20"/>
    </row>
    <row r="92" spans="2:55" x14ac:dyDescent="0.25">
      <c r="B92" s="10" t="s">
        <v>44</v>
      </c>
      <c r="C92" s="10">
        <v>0.34499999999999997</v>
      </c>
      <c r="D92" s="10" t="s">
        <v>45</v>
      </c>
      <c r="E92" s="10" t="s">
        <v>46</v>
      </c>
      <c r="BB92" s="20"/>
      <c r="BC92" s="20"/>
    </row>
    <row r="93" spans="2:55" x14ac:dyDescent="0.25">
      <c r="BB93" s="20"/>
      <c r="BC93" s="20"/>
    </row>
    <row r="94" spans="2:55" x14ac:dyDescent="0.25">
      <c r="B94" s="10" t="s">
        <v>44</v>
      </c>
      <c r="C94" s="10">
        <v>7.8480000000000008E-2</v>
      </c>
      <c r="D94" s="10" t="s">
        <v>45</v>
      </c>
      <c r="E94" s="10" t="s">
        <v>47</v>
      </c>
      <c r="BB94" s="20"/>
      <c r="BC94" s="20"/>
    </row>
    <row r="95" spans="2:55" x14ac:dyDescent="0.25">
      <c r="B95" s="10" t="s">
        <v>44</v>
      </c>
      <c r="C95" s="10">
        <v>0.38879999999999998</v>
      </c>
      <c r="D95" s="10" t="s">
        <v>45</v>
      </c>
      <c r="E95" s="10" t="s">
        <v>48</v>
      </c>
      <c r="BB95" s="20"/>
      <c r="BC95" s="20"/>
    </row>
    <row r="96" spans="2:55" x14ac:dyDescent="0.25">
      <c r="B96" s="10" t="s">
        <v>44</v>
      </c>
      <c r="C96" s="10">
        <v>0.3276</v>
      </c>
      <c r="D96" s="10" t="s">
        <v>45</v>
      </c>
      <c r="E96" s="10" t="s">
        <v>49</v>
      </c>
      <c r="BB96" s="20"/>
      <c r="BC96" s="20"/>
    </row>
    <row r="97" spans="2:54" x14ac:dyDescent="0.25">
      <c r="B97" s="10" t="s">
        <v>44</v>
      </c>
      <c r="C97" s="10">
        <v>0.25956000000000001</v>
      </c>
      <c r="D97" s="10" t="s">
        <v>45</v>
      </c>
      <c r="E97" s="62" t="s">
        <v>50</v>
      </c>
      <c r="BB97" s="20"/>
    </row>
    <row r="99" spans="2:54" ht="14.4" x14ac:dyDescent="0.3">
      <c r="B99" s="10" t="s">
        <v>186</v>
      </c>
      <c r="C99" s="65" t="s">
        <v>167</v>
      </c>
    </row>
    <row r="100" spans="2:54" x14ac:dyDescent="0.25">
      <c r="C100" s="10" t="s">
        <v>40</v>
      </c>
      <c r="D100" s="10" t="s">
        <v>168</v>
      </c>
      <c r="E100" s="10" t="s">
        <v>169</v>
      </c>
      <c r="F100" s="10" t="s">
        <v>170</v>
      </c>
    </row>
    <row r="101" spans="2:54" x14ac:dyDescent="0.25">
      <c r="F101" s="10" t="s">
        <v>171</v>
      </c>
    </row>
    <row r="102" spans="2:54" x14ac:dyDescent="0.25">
      <c r="F102" s="10" t="s">
        <v>172</v>
      </c>
    </row>
    <row r="103" spans="2:54" x14ac:dyDescent="0.25">
      <c r="C103" s="12" t="s">
        <v>173</v>
      </c>
      <c r="D103" s="10">
        <v>1</v>
      </c>
      <c r="E103" s="10" t="s">
        <v>45</v>
      </c>
      <c r="F103" s="10">
        <v>0.22</v>
      </c>
      <c r="G103" s="10" t="s">
        <v>71</v>
      </c>
    </row>
    <row r="104" spans="2:54" x14ac:dyDescent="0.25">
      <c r="C104" s="12" t="s">
        <v>174</v>
      </c>
      <c r="D104" s="10">
        <v>1</v>
      </c>
      <c r="E104" s="10" t="s">
        <v>45</v>
      </c>
      <c r="F104" s="10">
        <v>0.18</v>
      </c>
      <c r="G104" s="10" t="s">
        <v>71</v>
      </c>
    </row>
    <row r="105" spans="2:54" x14ac:dyDescent="0.25">
      <c r="C105" s="12" t="s">
        <v>175</v>
      </c>
      <c r="D105" s="10">
        <v>1</v>
      </c>
      <c r="E105" s="10" t="s">
        <v>45</v>
      </c>
      <c r="F105" s="10">
        <v>0.01</v>
      </c>
      <c r="G105" s="10" t="s">
        <v>71</v>
      </c>
    </row>
    <row r="106" spans="2:54" x14ac:dyDescent="0.25">
      <c r="C106" s="12" t="s">
        <v>166</v>
      </c>
      <c r="D106" s="10">
        <v>1</v>
      </c>
      <c r="E106" s="10" t="s">
        <v>176</v>
      </c>
      <c r="F106" s="10">
        <v>3.31</v>
      </c>
      <c r="G106" s="10" t="s">
        <v>71</v>
      </c>
    </row>
    <row r="107" spans="2:54" x14ac:dyDescent="0.25">
      <c r="C107" s="12" t="s">
        <v>55</v>
      </c>
      <c r="D107" s="10">
        <v>1</v>
      </c>
      <c r="E107" s="10" t="s">
        <v>177</v>
      </c>
      <c r="F107" s="10">
        <v>2.72</v>
      </c>
      <c r="G107" s="10" t="s">
        <v>71</v>
      </c>
    </row>
    <row r="108" spans="2:54" x14ac:dyDescent="0.25">
      <c r="C108" s="12" t="s">
        <v>178</v>
      </c>
      <c r="D108" s="10">
        <v>1</v>
      </c>
      <c r="E108" s="10" t="s">
        <v>176</v>
      </c>
      <c r="F108" s="10">
        <v>2.16</v>
      </c>
      <c r="G108" s="10" t="s">
        <v>71</v>
      </c>
    </row>
    <row r="109" spans="2:54" x14ac:dyDescent="0.25">
      <c r="C109" s="12" t="s">
        <v>179</v>
      </c>
      <c r="D109" s="10">
        <v>1</v>
      </c>
      <c r="E109" s="10" t="s">
        <v>176</v>
      </c>
      <c r="F109" s="10">
        <v>3.14</v>
      </c>
      <c r="G109" s="10" t="s">
        <v>71</v>
      </c>
    </row>
    <row r="110" spans="2:54" x14ac:dyDescent="0.25">
      <c r="C110" s="12" t="s">
        <v>180</v>
      </c>
      <c r="D110" s="10">
        <v>1</v>
      </c>
      <c r="E110" s="10" t="s">
        <v>176</v>
      </c>
      <c r="F110" s="10">
        <v>2.89</v>
      </c>
      <c r="G110" s="10" t="s">
        <v>71</v>
      </c>
    </row>
    <row r="111" spans="2:54" x14ac:dyDescent="0.25">
      <c r="C111" s="12" t="s">
        <v>181</v>
      </c>
      <c r="D111" s="10">
        <v>1</v>
      </c>
      <c r="E111" s="10" t="s">
        <v>71</v>
      </c>
      <c r="F111" s="10">
        <v>0.13</v>
      </c>
      <c r="G111" s="10" t="s">
        <v>71</v>
      </c>
    </row>
    <row r="112" spans="2:54" x14ac:dyDescent="0.25">
      <c r="C112" s="12" t="s">
        <v>182</v>
      </c>
      <c r="D112" s="10">
        <v>1</v>
      </c>
      <c r="E112" s="10" t="s">
        <v>71</v>
      </c>
      <c r="F112" s="10">
        <v>0.05</v>
      </c>
      <c r="G112" s="10" t="s">
        <v>71</v>
      </c>
    </row>
    <row r="113" spans="2:17" x14ac:dyDescent="0.25">
      <c r="C113" s="12" t="s">
        <v>183</v>
      </c>
      <c r="D113" s="10">
        <v>1</v>
      </c>
      <c r="E113" s="10" t="s">
        <v>176</v>
      </c>
      <c r="F113" s="10">
        <v>1.55</v>
      </c>
      <c r="G113" s="10" t="s">
        <v>71</v>
      </c>
    </row>
    <row r="114" spans="2:17" x14ac:dyDescent="0.25">
      <c r="C114" s="12" t="s">
        <v>184</v>
      </c>
      <c r="D114" s="10">
        <v>1</v>
      </c>
      <c r="E114" s="10" t="s">
        <v>176</v>
      </c>
      <c r="F114" s="10">
        <v>1.26</v>
      </c>
      <c r="G114" s="10" t="s">
        <v>71</v>
      </c>
    </row>
    <row r="115" spans="2:17" x14ac:dyDescent="0.25">
      <c r="C115" s="12" t="s">
        <v>185</v>
      </c>
      <c r="D115" s="10">
        <v>1</v>
      </c>
      <c r="E115" s="10" t="s">
        <v>45</v>
      </c>
      <c r="F115" s="10">
        <v>0.2</v>
      </c>
      <c r="G115" s="10" t="s">
        <v>71</v>
      </c>
    </row>
    <row r="117" spans="2:17" ht="14.4" x14ac:dyDescent="0.3">
      <c r="B117" s="10" t="s">
        <v>186</v>
      </c>
      <c r="C117" s="65" t="s">
        <v>167</v>
      </c>
    </row>
    <row r="118" spans="2:17" x14ac:dyDescent="0.25">
      <c r="C118" s="10" t="s">
        <v>40</v>
      </c>
      <c r="D118" s="10" t="s">
        <v>168</v>
      </c>
      <c r="E118" s="10" t="s">
        <v>169</v>
      </c>
      <c r="F118" s="10" t="s">
        <v>187</v>
      </c>
      <c r="G118" s="10" t="s">
        <v>169</v>
      </c>
      <c r="H118" s="10" t="s">
        <v>188</v>
      </c>
      <c r="J118" s="10" t="s">
        <v>189</v>
      </c>
      <c r="K118" s="10" t="s">
        <v>169</v>
      </c>
      <c r="L118" s="10" t="s">
        <v>190</v>
      </c>
      <c r="N118" s="10" t="s">
        <v>187</v>
      </c>
      <c r="O118" s="10" t="s">
        <v>169</v>
      </c>
      <c r="P118" s="10" t="s">
        <v>191</v>
      </c>
    </row>
    <row r="119" spans="2:17" x14ac:dyDescent="0.25">
      <c r="F119" s="10" t="s">
        <v>192</v>
      </c>
      <c r="H119" s="10" t="s">
        <v>193</v>
      </c>
      <c r="L119" s="10" t="s">
        <v>193</v>
      </c>
      <c r="N119" s="10" t="s">
        <v>194</v>
      </c>
      <c r="P119" s="10" t="s">
        <v>193</v>
      </c>
    </row>
    <row r="120" spans="2:17" x14ac:dyDescent="0.25">
      <c r="P120" s="10" t="s">
        <v>195</v>
      </c>
    </row>
    <row r="121" spans="2:17" x14ac:dyDescent="0.25">
      <c r="C121" s="12" t="s">
        <v>196</v>
      </c>
      <c r="D121" s="10">
        <v>1</v>
      </c>
      <c r="E121" s="10" t="s">
        <v>45</v>
      </c>
      <c r="F121" s="10" t="s">
        <v>52</v>
      </c>
      <c r="H121" s="10" t="s">
        <v>52</v>
      </c>
      <c r="J121" s="10" t="s">
        <v>52</v>
      </c>
      <c r="L121" s="10" t="s">
        <v>52</v>
      </c>
      <c r="N121" s="10">
        <v>0.219</v>
      </c>
      <c r="O121" s="10" t="s">
        <v>197</v>
      </c>
      <c r="P121" s="10">
        <v>0.22</v>
      </c>
      <c r="Q121" s="10" t="s">
        <v>71</v>
      </c>
    </row>
    <row r="122" spans="2:17" x14ac:dyDescent="0.25">
      <c r="C122" s="12" t="s">
        <v>198</v>
      </c>
      <c r="D122" s="10">
        <v>1</v>
      </c>
      <c r="E122" s="10" t="s">
        <v>45</v>
      </c>
      <c r="F122" s="10" t="s">
        <v>52</v>
      </c>
      <c r="H122" s="10" t="s">
        <v>52</v>
      </c>
      <c r="J122" s="10" t="s">
        <v>52</v>
      </c>
      <c r="L122" s="10" t="s">
        <v>52</v>
      </c>
      <c r="N122" s="10">
        <v>0.18</v>
      </c>
      <c r="O122" s="10" t="s">
        <v>197</v>
      </c>
      <c r="P122" s="10">
        <v>0.18</v>
      </c>
      <c r="Q122" s="10" t="s">
        <v>71</v>
      </c>
    </row>
    <row r="123" spans="2:17" x14ac:dyDescent="0.25">
      <c r="C123" s="12" t="s">
        <v>199</v>
      </c>
      <c r="D123" s="10">
        <v>1</v>
      </c>
      <c r="E123" s="10" t="s">
        <v>45</v>
      </c>
      <c r="F123" s="10" t="s">
        <v>52</v>
      </c>
      <c r="H123" s="10" t="s">
        <v>52</v>
      </c>
      <c r="J123" s="10" t="s">
        <v>52</v>
      </c>
      <c r="L123" s="10" t="s">
        <v>52</v>
      </c>
      <c r="N123" s="10">
        <v>1.4E-2</v>
      </c>
      <c r="O123" s="10" t="s">
        <v>197</v>
      </c>
      <c r="P123" s="10">
        <v>0.01</v>
      </c>
      <c r="Q123" s="10" t="s">
        <v>71</v>
      </c>
    </row>
    <row r="124" spans="2:17" x14ac:dyDescent="0.25">
      <c r="C124" s="12" t="s">
        <v>166</v>
      </c>
      <c r="D124" s="10">
        <v>1</v>
      </c>
      <c r="E124" s="10" t="s">
        <v>176</v>
      </c>
      <c r="F124" s="10">
        <v>2.6960000000000002</v>
      </c>
      <c r="G124" s="10" t="s">
        <v>200</v>
      </c>
      <c r="H124" s="10">
        <v>2.7</v>
      </c>
      <c r="I124" s="10" t="s">
        <v>71</v>
      </c>
      <c r="J124" s="10">
        <v>0.60899999999999999</v>
      </c>
      <c r="K124" s="10" t="s">
        <v>200</v>
      </c>
      <c r="L124" s="10">
        <v>0.61</v>
      </c>
      <c r="M124" s="10" t="s">
        <v>71</v>
      </c>
      <c r="N124" s="10">
        <v>3.3050000000000002</v>
      </c>
      <c r="O124" s="10" t="s">
        <v>200</v>
      </c>
      <c r="P124" s="10">
        <v>3.31</v>
      </c>
      <c r="Q124" s="10" t="s">
        <v>71</v>
      </c>
    </row>
    <row r="125" spans="2:17" x14ac:dyDescent="0.25">
      <c r="C125" s="12" t="s">
        <v>55</v>
      </c>
      <c r="D125" s="10">
        <v>1</v>
      </c>
      <c r="E125" s="10" t="s">
        <v>201</v>
      </c>
      <c r="F125" s="10">
        <v>2.032</v>
      </c>
      <c r="G125" s="10" t="s">
        <v>202</v>
      </c>
      <c r="H125" s="10">
        <v>2.0299999999999998</v>
      </c>
      <c r="I125" s="10" t="s">
        <v>71</v>
      </c>
      <c r="J125" s="10">
        <v>0.68600000000000005</v>
      </c>
      <c r="K125" s="10" t="s">
        <v>202</v>
      </c>
      <c r="L125" s="10">
        <v>0.69</v>
      </c>
      <c r="M125" s="10" t="s">
        <v>71</v>
      </c>
      <c r="N125" s="10">
        <v>2.718</v>
      </c>
      <c r="O125" s="10" t="s">
        <v>202</v>
      </c>
      <c r="P125" s="10">
        <v>2.72</v>
      </c>
      <c r="Q125" s="10" t="s">
        <v>71</v>
      </c>
    </row>
    <row r="126" spans="2:17" x14ac:dyDescent="0.25">
      <c r="C126" s="12" t="s">
        <v>178</v>
      </c>
      <c r="D126" s="10">
        <v>1</v>
      </c>
      <c r="E126" s="10" t="s">
        <v>176</v>
      </c>
      <c r="F126" s="10">
        <v>1.595</v>
      </c>
      <c r="G126" s="10" t="s">
        <v>200</v>
      </c>
      <c r="H126" s="10">
        <v>1.6</v>
      </c>
      <c r="I126" s="10" t="s">
        <v>71</v>
      </c>
      <c r="J126" s="10">
        <v>0.56200000000000006</v>
      </c>
      <c r="K126" s="10" t="s">
        <v>200</v>
      </c>
      <c r="L126" s="10">
        <v>0.56000000000000005</v>
      </c>
      <c r="M126" s="10" t="s">
        <v>71</v>
      </c>
      <c r="N126" s="10">
        <v>2.1579999999999999</v>
      </c>
      <c r="O126" s="10" t="s">
        <v>200</v>
      </c>
      <c r="P126" s="10">
        <v>2.16</v>
      </c>
      <c r="Q126" s="10" t="s">
        <v>71</v>
      </c>
    </row>
    <row r="127" spans="2:17" x14ac:dyDescent="0.25">
      <c r="C127" s="12" t="s">
        <v>179</v>
      </c>
      <c r="D127" s="10">
        <v>1</v>
      </c>
      <c r="E127" s="10" t="s">
        <v>176</v>
      </c>
      <c r="F127" s="10">
        <v>2.4950000000000001</v>
      </c>
      <c r="G127" s="10" t="s">
        <v>200</v>
      </c>
      <c r="H127" s="10">
        <v>2.5</v>
      </c>
      <c r="I127" s="10" t="s">
        <v>71</v>
      </c>
      <c r="J127" s="10">
        <v>0.64200000000000002</v>
      </c>
      <c r="K127" s="10" t="s">
        <v>200</v>
      </c>
      <c r="L127" s="10">
        <v>0.64</v>
      </c>
      <c r="M127" s="10" t="s">
        <v>71</v>
      </c>
      <c r="N127" s="10">
        <v>3.137</v>
      </c>
      <c r="O127" s="10" t="s">
        <v>200</v>
      </c>
      <c r="P127" s="10">
        <v>3.14</v>
      </c>
      <c r="Q127" s="10" t="s">
        <v>71</v>
      </c>
    </row>
    <row r="128" spans="2:17" x14ac:dyDescent="0.25">
      <c r="C128" s="12" t="s">
        <v>180</v>
      </c>
      <c r="D128" s="10">
        <v>1</v>
      </c>
      <c r="E128" s="10" t="s">
        <v>176</v>
      </c>
      <c r="F128" s="10">
        <v>2.2890000000000001</v>
      </c>
      <c r="G128" s="10" t="s">
        <v>200</v>
      </c>
      <c r="H128" s="10">
        <v>2.29</v>
      </c>
      <c r="I128" s="10" t="s">
        <v>71</v>
      </c>
      <c r="J128" s="10">
        <v>0.60299999999999998</v>
      </c>
      <c r="K128" s="10" t="s">
        <v>200</v>
      </c>
      <c r="L128" s="10">
        <v>0.6</v>
      </c>
      <c r="M128" s="10" t="s">
        <v>71</v>
      </c>
      <c r="N128" s="10">
        <v>2.891</v>
      </c>
      <c r="O128" s="10" t="s">
        <v>200</v>
      </c>
      <c r="P128" s="10">
        <v>2.89</v>
      </c>
      <c r="Q128" s="10" t="s">
        <v>71</v>
      </c>
    </row>
    <row r="129" spans="3:17" x14ac:dyDescent="0.25">
      <c r="C129" s="12" t="s">
        <v>181</v>
      </c>
      <c r="D129" s="10">
        <v>1</v>
      </c>
      <c r="E129" s="10" t="s">
        <v>71</v>
      </c>
      <c r="F129" s="10">
        <v>0.03</v>
      </c>
      <c r="G129" s="10" t="s">
        <v>203</v>
      </c>
      <c r="H129" s="10">
        <v>0.03</v>
      </c>
      <c r="I129" s="10" t="s">
        <v>71</v>
      </c>
      <c r="J129" s="10">
        <v>0.10199999999999999</v>
      </c>
      <c r="K129" s="10" t="s">
        <v>203</v>
      </c>
      <c r="L129" s="10">
        <v>0.1</v>
      </c>
      <c r="M129" s="10" t="s">
        <v>71</v>
      </c>
      <c r="N129" s="10">
        <v>0.13300000000000001</v>
      </c>
      <c r="O129" s="10" t="s">
        <v>203</v>
      </c>
      <c r="P129" s="10">
        <v>0.13</v>
      </c>
      <c r="Q129" s="10" t="s">
        <v>71</v>
      </c>
    </row>
    <row r="130" spans="3:17" x14ac:dyDescent="0.25">
      <c r="C130" s="12" t="s">
        <v>182</v>
      </c>
      <c r="D130" s="10">
        <v>1</v>
      </c>
      <c r="E130" s="10" t="s">
        <v>71</v>
      </c>
      <c r="F130" s="10">
        <v>2.4E-2</v>
      </c>
      <c r="G130" s="10" t="s">
        <v>203</v>
      </c>
      <c r="H130" s="10">
        <v>0.02</v>
      </c>
      <c r="I130" s="10" t="s">
        <v>71</v>
      </c>
      <c r="J130" s="10">
        <v>2.5000000000000001E-2</v>
      </c>
      <c r="K130" s="10" t="s">
        <v>203</v>
      </c>
      <c r="L130" s="10">
        <v>0.03</v>
      </c>
      <c r="M130" s="10" t="s">
        <v>71</v>
      </c>
      <c r="N130" s="10">
        <v>4.9000000000000002E-2</v>
      </c>
      <c r="O130" s="10" t="s">
        <v>203</v>
      </c>
      <c r="P130" s="10">
        <v>0.05</v>
      </c>
      <c r="Q130" s="10" t="s">
        <v>71</v>
      </c>
    </row>
    <row r="131" spans="3:17" x14ac:dyDescent="0.25">
      <c r="C131" s="12" t="s">
        <v>183</v>
      </c>
      <c r="D131" s="10">
        <v>1</v>
      </c>
      <c r="E131" s="10" t="s">
        <v>176</v>
      </c>
      <c r="F131" s="10">
        <v>4.1000000000000002E-2</v>
      </c>
      <c r="G131" s="10" t="s">
        <v>200</v>
      </c>
      <c r="H131" s="10">
        <v>0.04</v>
      </c>
      <c r="I131" s="10" t="s">
        <v>71</v>
      </c>
      <c r="J131" s="10">
        <v>1.504</v>
      </c>
      <c r="K131" s="10" t="s">
        <v>200</v>
      </c>
      <c r="L131" s="10">
        <v>1.5</v>
      </c>
      <c r="M131" s="10" t="s">
        <v>71</v>
      </c>
      <c r="N131" s="10">
        <v>1.5449999999999999</v>
      </c>
      <c r="O131" s="10" t="s">
        <v>203</v>
      </c>
      <c r="P131" s="10">
        <v>1.55</v>
      </c>
      <c r="Q131" s="10" t="s">
        <v>71</v>
      </c>
    </row>
    <row r="132" spans="3:17" x14ac:dyDescent="0.25">
      <c r="C132" s="12" t="s">
        <v>184</v>
      </c>
      <c r="D132" s="10">
        <v>1</v>
      </c>
      <c r="E132" s="10" t="s">
        <v>176</v>
      </c>
      <c r="F132" s="10">
        <v>7.0000000000000001E-3</v>
      </c>
      <c r="G132" s="10" t="s">
        <v>200</v>
      </c>
      <c r="H132" s="10">
        <v>0.01</v>
      </c>
      <c r="I132" s="10" t="s">
        <v>71</v>
      </c>
      <c r="J132" s="10">
        <v>1.254</v>
      </c>
      <c r="K132" s="10" t="s">
        <v>200</v>
      </c>
      <c r="L132" s="10">
        <v>1.25</v>
      </c>
      <c r="M132" s="10" t="s">
        <v>71</v>
      </c>
      <c r="N132" s="10">
        <v>1.2609999999999999</v>
      </c>
      <c r="O132" s="10" t="s">
        <v>203</v>
      </c>
      <c r="P132" s="10">
        <v>1.26</v>
      </c>
      <c r="Q132" s="10" t="s">
        <v>71</v>
      </c>
    </row>
    <row r="133" spans="3:17" x14ac:dyDescent="0.25">
      <c r="C133" s="12" t="s">
        <v>185</v>
      </c>
      <c r="D133" s="10">
        <v>1</v>
      </c>
      <c r="E133" s="10" t="s">
        <v>45</v>
      </c>
      <c r="F133" s="10" t="s">
        <v>52</v>
      </c>
      <c r="H133" s="10" t="s">
        <v>52</v>
      </c>
      <c r="J133" s="10" t="s">
        <v>52</v>
      </c>
      <c r="L133" s="10" t="s">
        <v>52</v>
      </c>
      <c r="N133" s="10">
        <v>0.2</v>
      </c>
      <c r="O133" s="10" t="s">
        <v>197</v>
      </c>
      <c r="P133" s="10">
        <v>0.2</v>
      </c>
      <c r="Q133" s="10" t="s">
        <v>71</v>
      </c>
    </row>
    <row r="158" spans="14:22" x14ac:dyDescent="0.25">
      <c r="N158" s="10">
        <v>3</v>
      </c>
      <c r="O158" s="10">
        <v>53</v>
      </c>
      <c r="P158" s="10">
        <v>27</v>
      </c>
      <c r="Q158" s="10">
        <v>54</v>
      </c>
      <c r="R158" s="10">
        <v>85</v>
      </c>
      <c r="S158" s="10">
        <v>61</v>
      </c>
      <c r="T158" s="10">
        <v>72</v>
      </c>
      <c r="U158" s="10">
        <v>103</v>
      </c>
    </row>
    <row r="159" spans="14:22" x14ac:dyDescent="0.25">
      <c r="N159" s="10">
        <v>407</v>
      </c>
      <c r="O159" s="10">
        <v>336</v>
      </c>
      <c r="P159" s="10">
        <v>201</v>
      </c>
      <c r="Q159" s="10">
        <v>201</v>
      </c>
      <c r="R159" s="10">
        <v>201</v>
      </c>
      <c r="S159" s="10">
        <v>201</v>
      </c>
      <c r="T159" s="10">
        <v>201</v>
      </c>
      <c r="U159" s="10">
        <v>201</v>
      </c>
    </row>
    <row r="160" spans="14:22" x14ac:dyDescent="0.25">
      <c r="N160" s="10">
        <f>SUM(N158:N159)</f>
        <v>410</v>
      </c>
      <c r="O160" s="10">
        <f>SUM(O158:O159)</f>
        <v>389</v>
      </c>
      <c r="P160" s="10">
        <f>SUM(P158:P159)</f>
        <v>228</v>
      </c>
      <c r="Q160" s="10">
        <f>SUM(Q158:Q159)</f>
        <v>255</v>
      </c>
      <c r="R160" s="10">
        <f t="shared" ref="R160:U160" si="205">SUM(R158:R159)</f>
        <v>286</v>
      </c>
      <c r="S160" s="10">
        <f t="shared" si="205"/>
        <v>262</v>
      </c>
      <c r="T160" s="10">
        <f t="shared" si="205"/>
        <v>273</v>
      </c>
      <c r="U160" s="10">
        <f t="shared" si="205"/>
        <v>304</v>
      </c>
      <c r="V160" s="63" t="s">
        <v>207</v>
      </c>
    </row>
    <row r="161" spans="16:22" x14ac:dyDescent="0.25">
      <c r="Q161" s="63" t="s">
        <v>205</v>
      </c>
      <c r="S161" s="63" t="s">
        <v>205</v>
      </c>
      <c r="T161" s="63" t="s">
        <v>205</v>
      </c>
    </row>
    <row r="163" spans="16:22" x14ac:dyDescent="0.25">
      <c r="S163" s="63" t="s">
        <v>205</v>
      </c>
      <c r="T163" s="64">
        <f>AVERAGE(Q160,S160,T160)</f>
        <v>263.33333333333331</v>
      </c>
      <c r="U163" s="64">
        <f>_xlfn.STDEV.P(Q160,S160:T160)</f>
        <v>7.4087035902976233</v>
      </c>
      <c r="V163" s="20">
        <f>T163/1000</f>
        <v>0.26333333333333331</v>
      </c>
    </row>
    <row r="164" spans="16:22" x14ac:dyDescent="0.25">
      <c r="S164" s="63" t="s">
        <v>206</v>
      </c>
      <c r="T164" s="64">
        <f>AVERAGE(Q160:U160)</f>
        <v>276</v>
      </c>
      <c r="U164" s="64">
        <f>_xlfn.STDEV.P(Q160:U160)</f>
        <v>17.4928556845359</v>
      </c>
    </row>
    <row r="171" spans="16:22" x14ac:dyDescent="0.25">
      <c r="P171" s="63" t="s">
        <v>214</v>
      </c>
      <c r="R171" s="10" t="s">
        <v>213</v>
      </c>
    </row>
    <row r="174" spans="16:22" x14ac:dyDescent="0.25">
      <c r="P174" s="10">
        <f>28/1000</f>
        <v>2.8000000000000001E-2</v>
      </c>
      <c r="Q174" s="63" t="s">
        <v>215</v>
      </c>
    </row>
    <row r="177" spans="3:23" x14ac:dyDescent="0.25">
      <c r="C177" s="10" t="s">
        <v>204</v>
      </c>
    </row>
    <row r="179" spans="3:23" x14ac:dyDescent="0.25">
      <c r="P179" s="63" t="s">
        <v>222</v>
      </c>
      <c r="Q179" s="63" t="s">
        <v>221</v>
      </c>
      <c r="R179" s="10">
        <v>0.48499999999999999</v>
      </c>
      <c r="S179" s="63" t="s">
        <v>209</v>
      </c>
      <c r="T179" s="66">
        <f>R179/36</f>
        <v>1.3472222222222222E-2</v>
      </c>
      <c r="U179" s="63" t="s">
        <v>219</v>
      </c>
      <c r="V179" s="66">
        <f>T179/3.6</f>
        <v>3.742283950617284E-3</v>
      </c>
      <c r="W179" s="63" t="s">
        <v>220</v>
      </c>
    </row>
    <row r="180" spans="3:23" x14ac:dyDescent="0.25">
      <c r="P180" s="63" t="s">
        <v>222</v>
      </c>
      <c r="Q180" s="63" t="s">
        <v>216</v>
      </c>
      <c r="R180" s="10">
        <v>1.8499999999999999E-2</v>
      </c>
      <c r="S180" s="63" t="s">
        <v>219</v>
      </c>
      <c r="T180" s="10">
        <f>R180</f>
        <v>1.8499999999999999E-2</v>
      </c>
      <c r="U180" s="63" t="s">
        <v>219</v>
      </c>
      <c r="V180" s="66">
        <f>T180/3.6</f>
        <v>5.1388888888888882E-3</v>
      </c>
      <c r="W180" s="63" t="s">
        <v>220</v>
      </c>
    </row>
    <row r="181" spans="3:23" x14ac:dyDescent="0.25">
      <c r="D181" s="10">
        <v>0.75</v>
      </c>
      <c r="E181" s="63" t="s">
        <v>209</v>
      </c>
      <c r="G181" s="10">
        <v>9.3000000000000007</v>
      </c>
      <c r="H181" s="63" t="s">
        <v>212</v>
      </c>
      <c r="I181" s="63" t="s">
        <v>210</v>
      </c>
      <c r="J181" s="68">
        <f>D181/G181</f>
        <v>8.0645161290322578E-2</v>
      </c>
      <c r="L181" s="10">
        <v>0.76419000000000004</v>
      </c>
      <c r="P181" s="63" t="s">
        <v>223</v>
      </c>
      <c r="Q181" s="63" t="s">
        <v>217</v>
      </c>
      <c r="R181" s="10">
        <v>0.34899999999999998</v>
      </c>
      <c r="S181" s="63" t="s">
        <v>218</v>
      </c>
      <c r="T181" s="10">
        <f>R181/29</f>
        <v>1.203448275862069E-2</v>
      </c>
      <c r="U181" s="63" t="s">
        <v>219</v>
      </c>
      <c r="V181" s="66">
        <f>T181/3.6</f>
        <v>3.3429118773946357E-3</v>
      </c>
      <c r="W181" s="63" t="s">
        <v>220</v>
      </c>
    </row>
    <row r="182" spans="3:23" x14ac:dyDescent="0.25">
      <c r="G182" s="10">
        <v>13</v>
      </c>
      <c r="H182" s="63" t="s">
        <v>212</v>
      </c>
      <c r="I182" s="63" t="s">
        <v>211</v>
      </c>
      <c r="J182" s="68">
        <f>D181/G182</f>
        <v>5.7692307692307696E-2</v>
      </c>
    </row>
    <row r="183" spans="3:23" x14ac:dyDescent="0.25">
      <c r="J183" s="68"/>
    </row>
    <row r="184" spans="3:23" x14ac:dyDescent="0.25">
      <c r="G184" s="10">
        <v>11.3</v>
      </c>
      <c r="H184" s="63" t="s">
        <v>212</v>
      </c>
      <c r="I184" s="63" t="s">
        <v>44</v>
      </c>
      <c r="J184" s="68">
        <f>D181/G184</f>
        <v>6.6371681415929196E-2</v>
      </c>
    </row>
    <row r="191" spans="3:23" x14ac:dyDescent="0.25">
      <c r="C191" s="10">
        <v>0.04</v>
      </c>
      <c r="D191" s="63" t="s">
        <v>224</v>
      </c>
      <c r="F191" s="10">
        <f>C191*1000</f>
        <v>40</v>
      </c>
    </row>
    <row r="194" spans="3:19" x14ac:dyDescent="0.25">
      <c r="F194" s="63" t="s">
        <v>225</v>
      </c>
      <c r="G194" s="10">
        <f>65*3.6</f>
        <v>234</v>
      </c>
      <c r="H194" s="63" t="s">
        <v>226</v>
      </c>
      <c r="I194" s="10">
        <f>G194/1000</f>
        <v>0.23400000000000001</v>
      </c>
      <c r="J194" s="63" t="s">
        <v>227</v>
      </c>
    </row>
    <row r="198" spans="3:19" ht="14.4" x14ac:dyDescent="0.3">
      <c r="C198" s="65" t="s">
        <v>167</v>
      </c>
    </row>
    <row r="199" spans="3:19" x14ac:dyDescent="0.25">
      <c r="C199" s="67">
        <v>44689</v>
      </c>
    </row>
    <row r="201" spans="3:19" x14ac:dyDescent="0.25">
      <c r="G201" s="63" t="s">
        <v>234</v>
      </c>
      <c r="H201" s="63" t="s">
        <v>235</v>
      </c>
    </row>
    <row r="202" spans="3:19" x14ac:dyDescent="0.25">
      <c r="C202" s="63" t="s">
        <v>40</v>
      </c>
      <c r="D202" s="69" t="s">
        <v>231</v>
      </c>
      <c r="E202" s="69" t="s">
        <v>232</v>
      </c>
      <c r="F202" s="69" t="s">
        <v>230</v>
      </c>
      <c r="G202" s="69" t="s">
        <v>120</v>
      </c>
    </row>
    <row r="203" spans="3:19" x14ac:dyDescent="0.25">
      <c r="C203" s="63" t="s">
        <v>228</v>
      </c>
      <c r="D203" s="10">
        <v>0.17299999999999999</v>
      </c>
      <c r="E203" s="10">
        <v>4.4999999999999998E-2</v>
      </c>
      <c r="F203" s="10">
        <f t="shared" ref="F203:F208" si="206">SUM(D203:E203)</f>
        <v>0.21799999999999997</v>
      </c>
      <c r="G203" s="63" t="s">
        <v>52</v>
      </c>
      <c r="H203" s="63" t="s">
        <v>52</v>
      </c>
    </row>
    <row r="204" spans="3:19" x14ac:dyDescent="0.25">
      <c r="C204" s="63" t="s">
        <v>229</v>
      </c>
      <c r="D204" s="10">
        <v>0.27100000000000002</v>
      </c>
      <c r="E204" s="10">
        <v>6.0999999999999999E-2</v>
      </c>
      <c r="F204" s="10">
        <f t="shared" si="206"/>
        <v>0.33200000000000002</v>
      </c>
      <c r="G204" s="10">
        <v>11.89</v>
      </c>
      <c r="H204" s="10">
        <v>0.83699999999999997</v>
      </c>
      <c r="I204" s="63" t="s">
        <v>200</v>
      </c>
    </row>
    <row r="205" spans="3:19" x14ac:dyDescent="0.25">
      <c r="C205" s="63" t="s">
        <v>55</v>
      </c>
      <c r="D205" s="10">
        <v>0.2</v>
      </c>
      <c r="E205" s="10">
        <v>6.8000000000000005E-2</v>
      </c>
      <c r="F205" s="10">
        <f t="shared" si="206"/>
        <v>0.26800000000000002</v>
      </c>
      <c r="G205" s="10">
        <v>13.89</v>
      </c>
      <c r="H205" s="10">
        <v>0.73</v>
      </c>
      <c r="I205" s="63" t="s">
        <v>233</v>
      </c>
    </row>
    <row r="206" spans="3:19" x14ac:dyDescent="0.25">
      <c r="C206" s="63" t="s">
        <v>178</v>
      </c>
      <c r="D206" s="10">
        <v>0.23100000000000001</v>
      </c>
      <c r="E206" s="10">
        <v>8.1000000000000003E-2</v>
      </c>
      <c r="F206" s="10">
        <f t="shared" si="206"/>
        <v>0.312</v>
      </c>
      <c r="G206" s="10">
        <v>12.8</v>
      </c>
      <c r="H206" s="10">
        <v>0.54</v>
      </c>
      <c r="I206" s="63" t="s">
        <v>200</v>
      </c>
    </row>
    <row r="207" spans="3:19" x14ac:dyDescent="0.25">
      <c r="C207" s="63" t="s">
        <v>179</v>
      </c>
      <c r="D207" s="10">
        <v>0.255</v>
      </c>
      <c r="E207" s="10">
        <v>6.6000000000000003E-2</v>
      </c>
      <c r="F207" s="10">
        <f t="shared" si="206"/>
        <v>0.32100000000000001</v>
      </c>
      <c r="G207" s="10">
        <v>11.68</v>
      </c>
      <c r="H207" s="10">
        <v>0.83699999999999997</v>
      </c>
      <c r="I207" s="63" t="s">
        <v>200</v>
      </c>
    </row>
    <row r="208" spans="3:19" x14ac:dyDescent="0.25">
      <c r="C208" s="63" t="s">
        <v>180</v>
      </c>
      <c r="D208" s="10">
        <v>0.27</v>
      </c>
      <c r="E208" s="10">
        <v>7.0999999999999994E-2</v>
      </c>
      <c r="F208" s="10">
        <f t="shared" si="206"/>
        <v>0.34100000000000003</v>
      </c>
      <c r="G208" s="10">
        <v>11.38</v>
      </c>
      <c r="H208" s="10">
        <v>0.74399999999999999</v>
      </c>
      <c r="I208" s="63" t="s">
        <v>200</v>
      </c>
      <c r="S208" s="10" t="s">
        <v>247</v>
      </c>
    </row>
    <row r="209" spans="19:19" x14ac:dyDescent="0.25">
      <c r="S209" s="10" t="s">
        <v>248</v>
      </c>
    </row>
    <row r="240" spans="4:4" x14ac:dyDescent="0.25">
      <c r="D240" s="73" t="s">
        <v>55</v>
      </c>
    </row>
    <row r="241" spans="4:15" x14ac:dyDescent="0.25">
      <c r="D241" s="72" t="s">
        <v>249</v>
      </c>
    </row>
    <row r="242" spans="4:15" x14ac:dyDescent="0.25">
      <c r="H242" s="63" t="s">
        <v>240</v>
      </c>
      <c r="N242" s="63" t="s">
        <v>243</v>
      </c>
    </row>
    <row r="243" spans="4:15" x14ac:dyDescent="0.25">
      <c r="D243" s="63" t="s">
        <v>236</v>
      </c>
      <c r="E243" s="63" t="s">
        <v>237</v>
      </c>
      <c r="F243" s="63" t="s">
        <v>238</v>
      </c>
      <c r="H243" s="63" t="s">
        <v>54</v>
      </c>
      <c r="I243" s="63" t="s">
        <v>239</v>
      </c>
      <c r="N243" s="70" t="s">
        <v>53</v>
      </c>
      <c r="O243" s="70" t="s">
        <v>246</v>
      </c>
    </row>
    <row r="244" spans="4:15" x14ac:dyDescent="0.25">
      <c r="D244" s="10">
        <v>12.010999999999999</v>
      </c>
      <c r="E244" s="10">
        <v>15.999000000000001</v>
      </c>
      <c r="F244" s="10">
        <v>1.008</v>
      </c>
      <c r="H244" s="10">
        <f>D244+F244*4</f>
        <v>16.042999999999999</v>
      </c>
      <c r="I244" s="10">
        <f>E244*2</f>
        <v>31.998000000000001</v>
      </c>
      <c r="L244" s="63" t="s">
        <v>241</v>
      </c>
      <c r="N244" s="71">
        <f>D244+E244*2</f>
        <v>44.009</v>
      </c>
      <c r="O244" s="10">
        <f>2*(F244*2+E244)</f>
        <v>36.03</v>
      </c>
    </row>
    <row r="245" spans="4:15" x14ac:dyDescent="0.25">
      <c r="H245" s="71">
        <f>H244</f>
        <v>16.042999999999999</v>
      </c>
      <c r="I245" s="10">
        <f>I244*2</f>
        <v>63.996000000000002</v>
      </c>
    </row>
    <row r="247" spans="4:15" x14ac:dyDescent="0.25">
      <c r="N247" s="10">
        <f>N244/H244</f>
        <v>2.7431901764009226</v>
      </c>
      <c r="O247" s="72" t="s">
        <v>257</v>
      </c>
    </row>
    <row r="248" spans="4:15" x14ac:dyDescent="0.25">
      <c r="K248" s="10">
        <v>0.73</v>
      </c>
      <c r="L248" s="63" t="s">
        <v>242</v>
      </c>
      <c r="N248" s="10">
        <f>K248*N247</f>
        <v>2.0025288287726735</v>
      </c>
      <c r="O248" s="72" t="s">
        <v>259</v>
      </c>
    </row>
    <row r="249" spans="4:15" x14ac:dyDescent="0.25">
      <c r="K249" s="20">
        <v>11.3</v>
      </c>
      <c r="L249" s="70" t="s">
        <v>244</v>
      </c>
      <c r="N249" s="71">
        <f>N248/K249</f>
        <v>0.17721494059935161</v>
      </c>
      <c r="O249" s="70" t="s">
        <v>245</v>
      </c>
    </row>
    <row r="250" spans="4:15" x14ac:dyDescent="0.25">
      <c r="N250" s="72" t="s">
        <v>260</v>
      </c>
    </row>
    <row r="251" spans="4:15" x14ac:dyDescent="0.25">
      <c r="H251" s="72" t="s">
        <v>255</v>
      </c>
      <c r="I251" s="72" t="s">
        <v>53</v>
      </c>
    </row>
    <row r="252" spans="4:15" x14ac:dyDescent="0.25">
      <c r="D252" s="73" t="s">
        <v>166</v>
      </c>
    </row>
    <row r="253" spans="4:15" x14ac:dyDescent="0.25">
      <c r="D253" s="72" t="s">
        <v>250</v>
      </c>
      <c r="E253" s="10">
        <f>D244</f>
        <v>12.010999999999999</v>
      </c>
      <c r="I253" s="10">
        <f>D244+E244*2</f>
        <v>44.009</v>
      </c>
      <c r="K253" s="10">
        <v>11.8</v>
      </c>
      <c r="L253" s="72" t="s">
        <v>253</v>
      </c>
      <c r="N253" s="10">
        <f>I253/E253</f>
        <v>3.6640579468820249</v>
      </c>
      <c r="O253" s="72" t="s">
        <v>257</v>
      </c>
    </row>
    <row r="254" spans="4:15" x14ac:dyDescent="0.25">
      <c r="D254" s="72" t="s">
        <v>251</v>
      </c>
      <c r="E254" s="10">
        <f>F244</f>
        <v>1.008</v>
      </c>
      <c r="N254" s="10">
        <f>N253*0.86</f>
        <v>3.1510898343185412</v>
      </c>
      <c r="O254" s="72" t="s">
        <v>258</v>
      </c>
    </row>
    <row r="255" spans="4:15" x14ac:dyDescent="0.25">
      <c r="N255" s="71">
        <f>N254/K253</f>
        <v>0.2670415113829272</v>
      </c>
      <c r="O255" s="70" t="s">
        <v>245</v>
      </c>
    </row>
    <row r="256" spans="4:15" x14ac:dyDescent="0.25">
      <c r="D256" s="72" t="s">
        <v>252</v>
      </c>
      <c r="H256" s="72" t="s">
        <v>256</v>
      </c>
      <c r="I256" s="72" t="s">
        <v>246</v>
      </c>
      <c r="N256" s="72" t="s">
        <v>260</v>
      </c>
    </row>
    <row r="257" spans="4:12" x14ac:dyDescent="0.25">
      <c r="D257" s="10">
        <f>E253*0.86</f>
        <v>10.329459999999999</v>
      </c>
      <c r="E257" s="10">
        <f>I253*0.86</f>
        <v>37.847740000000002</v>
      </c>
      <c r="I257" s="72" t="s">
        <v>254</v>
      </c>
    </row>
    <row r="260" spans="4:12" x14ac:dyDescent="0.25">
      <c r="D260" s="10" t="s">
        <v>329</v>
      </c>
      <c r="L260" s="10" t="s">
        <v>327</v>
      </c>
    </row>
    <row r="261" spans="4:12" x14ac:dyDescent="0.25">
      <c r="D261" s="10" t="s">
        <v>330</v>
      </c>
      <c r="L261" s="10" t="s">
        <v>326</v>
      </c>
    </row>
    <row r="262" spans="4:12" x14ac:dyDescent="0.25">
      <c r="D262" s="10" t="s">
        <v>331</v>
      </c>
    </row>
    <row r="263" spans="4:12" x14ac:dyDescent="0.25">
      <c r="D263" s="10" t="s">
        <v>328</v>
      </c>
    </row>
    <row r="284" spans="12:19" x14ac:dyDescent="0.25">
      <c r="L284" s="10" t="s">
        <v>335</v>
      </c>
    </row>
    <row r="288" spans="12:19" x14ac:dyDescent="0.25">
      <c r="R288" s="10">
        <v>118</v>
      </c>
      <c r="S288" s="10">
        <f>R288/1000</f>
        <v>0.11799999999999999</v>
      </c>
    </row>
    <row r="289" spans="18:30" x14ac:dyDescent="0.25">
      <c r="R289" s="10">
        <v>16</v>
      </c>
      <c r="S289" s="10">
        <f>R289/1000</f>
        <v>1.6E-2</v>
      </c>
    </row>
    <row r="292" spans="18:30" x14ac:dyDescent="0.25">
      <c r="AC292" s="109"/>
      <c r="AD292" s="109"/>
    </row>
    <row r="293" spans="18:30" x14ac:dyDescent="0.25">
      <c r="AC293" s="109"/>
      <c r="AD293" s="109"/>
    </row>
    <row r="294" spans="18:30" x14ac:dyDescent="0.25">
      <c r="AC294" s="109"/>
      <c r="AD294" s="109"/>
    </row>
    <row r="295" spans="18:30" x14ac:dyDescent="0.25">
      <c r="AC295" s="109"/>
    </row>
    <row r="307" spans="4:21" x14ac:dyDescent="0.25">
      <c r="F307" s="109" t="s">
        <v>334</v>
      </c>
      <c r="L307" s="109" t="s">
        <v>372</v>
      </c>
      <c r="P307" s="10" t="s">
        <v>376</v>
      </c>
    </row>
    <row r="308" spans="4:21" x14ac:dyDescent="0.25">
      <c r="D308" s="10">
        <v>2.8000000000000001E-2</v>
      </c>
      <c r="E308" s="10">
        <f>D308*0.218</f>
        <v>6.1040000000000001E-3</v>
      </c>
      <c r="F308" s="10">
        <v>0.74</v>
      </c>
      <c r="G308" s="10">
        <f>E308*F308</f>
        <v>4.5169599999999996E-3</v>
      </c>
      <c r="L308" s="109" t="s">
        <v>373</v>
      </c>
      <c r="P308" s="10" t="s">
        <v>377</v>
      </c>
    </row>
    <row r="309" spans="4:21" x14ac:dyDescent="0.25">
      <c r="D309" s="10">
        <v>8.0000000000000002E-3</v>
      </c>
      <c r="E309" s="10">
        <f>D309*3.14</f>
        <v>2.512E-2</v>
      </c>
      <c r="F309" s="10">
        <v>0.26</v>
      </c>
      <c r="G309" s="10">
        <f>E309*F309</f>
        <v>6.5312E-3</v>
      </c>
      <c r="L309" s="109" t="s">
        <v>374</v>
      </c>
    </row>
    <row r="310" spans="4:21" x14ac:dyDescent="0.25">
      <c r="G310" s="10">
        <f>SUM(G308:G309)</f>
        <v>1.104816E-2</v>
      </c>
      <c r="L310" s="109" t="s">
        <v>375</v>
      </c>
    </row>
    <row r="311" spans="4:21" x14ac:dyDescent="0.25">
      <c r="P311" s="10" t="s">
        <v>378</v>
      </c>
    </row>
    <row r="313" spans="4:21" x14ac:dyDescent="0.25">
      <c r="P313" s="10" t="s">
        <v>379</v>
      </c>
    </row>
    <row r="317" spans="4:21" x14ac:dyDescent="0.25">
      <c r="L317" s="10" t="s">
        <v>380</v>
      </c>
    </row>
    <row r="318" spans="4:21" x14ac:dyDescent="0.25">
      <c r="L318" s="10" t="s">
        <v>381</v>
      </c>
    </row>
    <row r="319" spans="4:21" x14ac:dyDescent="0.25">
      <c r="L319" s="10" t="s">
        <v>382</v>
      </c>
      <c r="T319" s="10">
        <v>0.35</v>
      </c>
      <c r="U319" s="109" t="s">
        <v>406</v>
      </c>
    </row>
    <row r="320" spans="4:21" x14ac:dyDescent="0.25">
      <c r="L320" s="10" t="s">
        <v>383</v>
      </c>
      <c r="T320" s="10">
        <v>0.25</v>
      </c>
      <c r="U320" s="109" t="s">
        <v>407</v>
      </c>
    </row>
    <row r="322" spans="12:21" x14ac:dyDescent="0.25">
      <c r="L322" s="10">
        <v>150</v>
      </c>
      <c r="M322" s="109" t="s">
        <v>384</v>
      </c>
      <c r="T322" s="10">
        <f>AVERAGE(T319:T320)</f>
        <v>0.3</v>
      </c>
      <c r="U322" s="109" t="s">
        <v>398</v>
      </c>
    </row>
    <row r="323" spans="12:21" x14ac:dyDescent="0.25">
      <c r="L323" s="10">
        <f>L322/100</f>
        <v>1.5</v>
      </c>
      <c r="M323" s="109" t="s">
        <v>385</v>
      </c>
      <c r="T323" s="10">
        <f>F360</f>
        <v>3.14</v>
      </c>
      <c r="U323" s="109" t="s">
        <v>397</v>
      </c>
    </row>
    <row r="324" spans="12:21" x14ac:dyDescent="0.25">
      <c r="L324" s="10">
        <v>28</v>
      </c>
      <c r="M324" s="109" t="s">
        <v>386</v>
      </c>
      <c r="T324" s="10">
        <f>T322*T323</f>
        <v>0.94199999999999995</v>
      </c>
      <c r="U324" s="109" t="s">
        <v>395</v>
      </c>
    </row>
    <row r="325" spans="12:21" x14ac:dyDescent="0.25">
      <c r="L325" s="10">
        <f>L323/L324</f>
        <v>5.3571428571428568E-2</v>
      </c>
      <c r="M325" s="109" t="s">
        <v>325</v>
      </c>
      <c r="T325" s="10">
        <v>25</v>
      </c>
      <c r="U325" s="109" t="s">
        <v>399</v>
      </c>
    </row>
    <row r="326" spans="12:21" x14ac:dyDescent="0.25">
      <c r="L326" s="10">
        <f>D66</f>
        <v>0.20200000000000001</v>
      </c>
      <c r="M326" s="109" t="s">
        <v>387</v>
      </c>
      <c r="T326" s="10">
        <f>T324/T325</f>
        <v>3.7679999999999998E-2</v>
      </c>
      <c r="U326" s="109" t="s">
        <v>401</v>
      </c>
    </row>
    <row r="327" spans="12:21" x14ac:dyDescent="0.25">
      <c r="L327" s="10">
        <f>L325*L326</f>
        <v>1.0821428571428572E-2</v>
      </c>
      <c r="M327" s="109" t="s">
        <v>388</v>
      </c>
      <c r="T327" s="71">
        <f>T326*2</f>
        <v>7.5359999999999996E-2</v>
      </c>
      <c r="U327" s="109" t="s">
        <v>400</v>
      </c>
    </row>
    <row r="328" spans="12:21" x14ac:dyDescent="0.25">
      <c r="L328" s="71">
        <f>L327*2</f>
        <v>2.1642857142857144E-2</v>
      </c>
      <c r="M328" s="109" t="s">
        <v>389</v>
      </c>
    </row>
    <row r="342" spans="6:9" x14ac:dyDescent="0.25">
      <c r="F342" s="109" t="s">
        <v>396</v>
      </c>
    </row>
    <row r="343" spans="6:9" x14ac:dyDescent="0.25">
      <c r="F343" s="109" t="s">
        <v>416</v>
      </c>
    </row>
    <row r="344" spans="6:9" x14ac:dyDescent="0.25">
      <c r="F344" s="117">
        <v>25</v>
      </c>
      <c r="G344" s="109" t="s">
        <v>417</v>
      </c>
    </row>
    <row r="345" spans="6:9" x14ac:dyDescent="0.25">
      <c r="F345" s="10">
        <v>45</v>
      </c>
      <c r="G345" s="109" t="s">
        <v>386</v>
      </c>
    </row>
    <row r="346" spans="6:9" x14ac:dyDescent="0.25">
      <c r="F346" s="117">
        <f>SUM(F344:F345)</f>
        <v>70</v>
      </c>
      <c r="G346" s="109" t="s">
        <v>418</v>
      </c>
      <c r="H346" s="116">
        <f>F344/F346</f>
        <v>0.35714285714285715</v>
      </c>
      <c r="I346" s="109" t="s">
        <v>412</v>
      </c>
    </row>
    <row r="347" spans="6:9" x14ac:dyDescent="0.25">
      <c r="I347" s="109" t="s">
        <v>413</v>
      </c>
    </row>
    <row r="350" spans="6:9" x14ac:dyDescent="0.25">
      <c r="F350" s="118">
        <f>F351*$H$346</f>
        <v>0.01</v>
      </c>
      <c r="G350" s="109" t="s">
        <v>409</v>
      </c>
    </row>
    <row r="351" spans="6:9" x14ac:dyDescent="0.25">
      <c r="F351" s="66">
        <v>2.8000000000000001E-2</v>
      </c>
      <c r="G351" s="109" t="s">
        <v>408</v>
      </c>
    </row>
    <row r="352" spans="6:9" x14ac:dyDescent="0.25">
      <c r="F352" s="66">
        <f>AVERAGE(F350:F351)</f>
        <v>1.9E-2</v>
      </c>
      <c r="G352" s="109" t="s">
        <v>414</v>
      </c>
    </row>
    <row r="353" spans="6:8" x14ac:dyDescent="0.25">
      <c r="F353" s="66">
        <f>D66</f>
        <v>0.20200000000000001</v>
      </c>
      <c r="G353" s="109" t="s">
        <v>387</v>
      </c>
    </row>
    <row r="354" spans="6:8" x14ac:dyDescent="0.25">
      <c r="F354" s="66">
        <f>F352*F353</f>
        <v>3.8380000000000003E-3</v>
      </c>
      <c r="G354" s="109" t="s">
        <v>402</v>
      </c>
    </row>
    <row r="355" spans="6:8" x14ac:dyDescent="0.25">
      <c r="F355" s="119">
        <f>F354*2</f>
        <v>7.6760000000000005E-3</v>
      </c>
      <c r="G355" s="109" t="s">
        <v>404</v>
      </c>
    </row>
    <row r="357" spans="6:8" x14ac:dyDescent="0.25">
      <c r="F357" s="118">
        <f>F358*$H$346</f>
        <v>2.8571428571428571E-3</v>
      </c>
      <c r="G357" s="109" t="s">
        <v>411</v>
      </c>
    </row>
    <row r="358" spans="6:8" x14ac:dyDescent="0.25">
      <c r="F358" s="66">
        <v>8.0000000000000002E-3</v>
      </c>
      <c r="G358" s="109" t="s">
        <v>410</v>
      </c>
    </row>
    <row r="359" spans="6:8" x14ac:dyDescent="0.25">
      <c r="F359" s="66">
        <f>AVERAGE(F357:F358)</f>
        <v>5.4285714285714284E-3</v>
      </c>
      <c r="G359" s="109" t="s">
        <v>415</v>
      </c>
    </row>
    <row r="360" spans="6:8" x14ac:dyDescent="0.25">
      <c r="F360" s="66">
        <f>F109</f>
        <v>3.14</v>
      </c>
      <c r="G360" s="109" t="s">
        <v>397</v>
      </c>
    </row>
    <row r="361" spans="6:8" x14ac:dyDescent="0.25">
      <c r="F361" s="66">
        <f>F359*F360</f>
        <v>1.7045714285714286E-2</v>
      </c>
      <c r="G361" s="109" t="s">
        <v>403</v>
      </c>
    </row>
    <row r="362" spans="6:8" x14ac:dyDescent="0.25">
      <c r="F362" s="119">
        <f>F361*2</f>
        <v>3.4091428571428571E-2</v>
      </c>
      <c r="G362" s="109" t="s">
        <v>405</v>
      </c>
    </row>
    <row r="367" spans="6:8" x14ac:dyDescent="0.25">
      <c r="F367" s="109" t="s">
        <v>0</v>
      </c>
    </row>
    <row r="368" spans="6:8" x14ac:dyDescent="0.25">
      <c r="F368" s="109" t="s">
        <v>424</v>
      </c>
      <c r="G368" s="10">
        <v>2.09</v>
      </c>
      <c r="H368" s="109" t="s">
        <v>426</v>
      </c>
    </row>
    <row r="369" spans="6:8" x14ac:dyDescent="0.25">
      <c r="F369" s="109" t="s">
        <v>425</v>
      </c>
      <c r="G369" s="10">
        <v>0.37</v>
      </c>
      <c r="H369" s="109" t="s">
        <v>426</v>
      </c>
    </row>
    <row r="370" spans="6:8" x14ac:dyDescent="0.25">
      <c r="G370" s="71">
        <f>SUM(G368:G369)</f>
        <v>2.46</v>
      </c>
      <c r="H370" s="109" t="s">
        <v>426</v>
      </c>
    </row>
  </sheetData>
  <sheetProtection selectLockedCells="1" selectUnlockedCells="1"/>
  <mergeCells count="8">
    <mergeCell ref="BO2:BU2"/>
    <mergeCell ref="BX2:CD2"/>
    <mergeCell ref="BF2:BL2"/>
    <mergeCell ref="AF78:AH78"/>
    <mergeCell ref="R5:T5"/>
    <mergeCell ref="Z4:Z5"/>
    <mergeCell ref="AB4:AB5"/>
    <mergeCell ref="AW2:BC2"/>
  </mergeCells>
  <hyperlinks>
    <hyperlink ref="C117" r:id="rId1" xr:uid="{A2F479C7-4CB6-4F60-93D9-C9489C493474}"/>
    <hyperlink ref="C198" r:id="rId2" xr:uid="{7E923C58-2FF5-4D0E-9FAA-B02C756718B1}"/>
    <hyperlink ref="C99" r:id="rId3" xr:uid="{29C806A6-CCC1-412A-B2EA-1222BB488A6C}"/>
  </hyperlinks>
  <pageMargins left="0.7" right="0.7" top="0.78740157499999996" bottom="0.78740157499999996" header="0.3" footer="0.3"/>
  <pageSetup paperSize="9" orientation="portrait" verticalDpi="1200"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Eingabemaske</vt:lpstr>
      <vt:lpstr>eingabefelder</vt:lpstr>
      <vt:lpstr>berechnung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Anthofer Michael</cp:lastModifiedBy>
  <dcterms:created xsi:type="dcterms:W3CDTF">2020-05-26T05:17:38Z</dcterms:created>
  <dcterms:modified xsi:type="dcterms:W3CDTF">2024-02-12T10:30:26Z</dcterms:modified>
</cp:coreProperties>
</file>